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workbookProtection workbookPassword="FDBB" lockStructure="1"/>
  <bookViews>
    <workbookView xWindow="120" yWindow="375" windowWidth="24240" windowHeight="11535" tabRatio="491"/>
  </bookViews>
  <sheets>
    <sheet name="Combatant Calculator" sheetId="5" r:id="rId1"/>
    <sheet name="Unit Calculator" sheetId="8" r:id="rId2"/>
    <sheet name="Vehicle Calculator" sheetId="9" r:id="rId3"/>
    <sheet name="Tabellen" sheetId="6" state="hidden" r:id="rId4"/>
    <sheet name="Movement" sheetId="7" r:id="rId5"/>
  </sheets>
  <definedNames>
    <definedName name="AbilitytoCast">Tabellen!$A$13:$A$18</definedName>
    <definedName name="Armor">Tabellen!$J$41:$J$46</definedName>
    <definedName name="BaseCost">Tabellen!$A$5:$A$8</definedName>
    <definedName name="DamageMultiMenu">Tabellen!$J$19:$J$23</definedName>
    <definedName name="Defense">Tabellen!$M$34:$P$46</definedName>
    <definedName name="DefenseMenu">INDEX(Defense,0,MATCH('Combatant Calculator'!$B$6,BaseCost,0))</definedName>
    <definedName name="_xlnm.Print_Area" localSheetId="0">'Combatant Calculator'!$G$2:$O$34</definedName>
    <definedName name="_xlnm.Print_Area" localSheetId="1">'Unit Calculator'!$H$2:$P$34</definedName>
    <definedName name="ElementalSpellBonus">Tabellen!$A$23:$A$33</definedName>
    <definedName name="Endurance">Tabellen!$M$52:$P$387</definedName>
    <definedName name="EnduranceMenu">INDEX(Endurance,0,MATCH('Combatant Calculator'!$B$6,BaseCost,0))</definedName>
    <definedName name="FormationFifthOrder">INDEX(FormationManeuverModMenu,0,MATCH('Unit Calculator'!$D$43,FormationMenu,0))</definedName>
    <definedName name="FormationFirstOrder">INDEX(FormationManeuverModMenu,0,MATCH('Unit Calculator'!$D$35,FormationMenu,0))</definedName>
    <definedName name="FormationFourthOrder">INDEX(FormationManeuverModMenu,0,MATCH('Unit Calculator'!$D$41,FormationMenu,0))</definedName>
    <definedName name="FormationManeuverModMenu">Tabellen!$X$136:$AF$145</definedName>
    <definedName name="FormationMenu">Tabellen!$X$123:$X$131</definedName>
    <definedName name="FormationModification">Tabellen!$AB$124:$AH$131</definedName>
    <definedName name="Formations">Tabellen!$X$123:$Z$131</definedName>
    <definedName name="FormationSecondOrder">INDEX(FormationManeuverModMenu,0,MATCH('Unit Calculator'!$D$37,FormationMenu,0))</definedName>
    <definedName name="FormationThirdOrder">INDEX(FormationManeuverModMenu,0,MATCH('Unit Calculator'!$D$39,FormationMenu,0))</definedName>
    <definedName name="LeaderBoost">Tabellen!$AJ$97:$AJ$102</definedName>
    <definedName name="LeaderRange">Tabellen!$AI$96:$AI$100</definedName>
    <definedName name="Maneuver">Tabellen!$X$16:$AA$22</definedName>
    <definedName name="ManeuverMenu">INDEX(Maneuver,0,MATCH('Combatant Calculator'!$B$6,BaseCost,0))</definedName>
    <definedName name="Material">Tabellen!$AI$106:$AS$110</definedName>
    <definedName name="MaterialMod">Tabellen!$AI$106:$AI$110</definedName>
    <definedName name="MeleeDamage">Tabellen!$X$62:$AA$64</definedName>
    <definedName name="MeleeDamageMenu">INDEX(MeleeDamage,0,MATCH('Combatant Calculator'!$B$6,BaseCost,0))</definedName>
    <definedName name="MeleeExtraD10">Tabellen!$X$56:$AA$57</definedName>
    <definedName name="MeleeExtraD10Menu">INDEX(MeleeExtraD10,0,MATCH('Combatant Calculator'!$B$6,BaseCost,0))</definedName>
    <definedName name="MeleeExtraD6">Tabellen!$X$49:$AA$51</definedName>
    <definedName name="MeleeExtraD6Menu">INDEX(MeleeExtraD6,0,MATCH('Combatant Calculator'!$B$6,BaseCost,0))</definedName>
    <definedName name="MeleeFixed">Tabellen!$X$30:$AA$41</definedName>
    <definedName name="MeleeFixedMenu">INDEX(MeleeFixed,0,MATCH('Combatant Calculator'!$B$6,BaseCost,0))</definedName>
    <definedName name="MissileDamage">Tabellen!$X$99:$AA$101</definedName>
    <definedName name="MissileDamageMenu">INDEX(MissileDamage,0,MATCH('Combatant Calculator'!$B$6,BaseCost,0))</definedName>
    <definedName name="MissileExtraD6">Tabellen!$X$92:$AA$94</definedName>
    <definedName name="MissileExtraD6Menu">INDEX(MissileExtraD6,0,MATCH('Combatant Calculator'!$B$6,BaseCost,0))</definedName>
    <definedName name="MissileFixed">Tabellen!$X$75:$AA$85</definedName>
    <definedName name="MissileFixedMenu">INDEX(MissileFixed,0,MATCH('Combatant Calculator'!$B$6,BaseCost,0))</definedName>
    <definedName name="Morale">Tabellen!$X$4:$AA$10</definedName>
    <definedName name="MoraleMenu">INDEX(Morale,0,MATCH('Combatant Calculator'!$B$6,BaseCost,0))</definedName>
    <definedName name="Movement">Tabellen!$M$4:$P$22</definedName>
    <definedName name="MovementMenu">INDEX(Movement,0,MATCH('Combatant Calculator'!$B$6,BaseCost,0))</definedName>
    <definedName name="Powerpoints">Tabellen!$AI$41:$AN$91</definedName>
    <definedName name="PowerpointsMenu">INDEX(Powerpoints,0,MATCH('Combatant Calculator'!$B$64,AbilitytoCast,0))</definedName>
    <definedName name="ProfessionMod">Tabellen!$AZ$4:$AZ$18</definedName>
    <definedName name="RaceMod">Tabellen!$AI$4:$AI$25</definedName>
    <definedName name="RangeMod">Tabellen!$X$109:$AA$113</definedName>
    <definedName name="RangeModMenu">INDEX(RangeMod,0,MATCH('Combatant Calculator'!$B$6,BaseCost,0))</definedName>
    <definedName name="Resistance">Tabellen!$J$50:$J$56</definedName>
    <definedName name="ShieldBonus">Tabellen!$J$32:$J$37</definedName>
    <definedName name="SiegeMeleeDamageMenu">INDEX(MeleeDamage,0,MATCH('Vehicle Calculator'!$B$6,BaseCost,0))</definedName>
    <definedName name="SiegeMeleeExtraD10Menu">INDEX(MeleeExtraD10,0,MATCH('Vehicle Calculator'!$B$6,BaseCost,0))</definedName>
    <definedName name="SiegeMeleeExtraD6Menu">INDEX(MeleeExtraD6,0,MATCH('Vehicle Calculator'!$B$6,BaseCost,0))</definedName>
    <definedName name="SiegeMeleeFixedMenu">INDEX(MeleeFixed,0,MATCH('Vehicle Calculator'!$B$6,BaseCost,0))</definedName>
    <definedName name="SiegeMissileDamageMenu">INDEX(MissileDamage,0,MATCH('Vehicle Calculator'!$B$6,BaseCost,0))</definedName>
    <definedName name="SiegeMissileExtraD6Menu">INDEX(MissileExtraD6,0,MATCH('Vehicle Calculator'!$B$6,BaseCost,0))</definedName>
    <definedName name="SiegeMissileFixedMenu">INDEX(MissileFixed,0,MATCH('Vehicle Calculator'!$B$6,BaseCost,0))</definedName>
    <definedName name="SiegeRangeModMenu">INDEX(RangeMod,0,MATCH('Vehicle Calculator'!$B$6,BaseCost,0))</definedName>
    <definedName name="SiegeWeaponMenu">Tabellen!$A$203:$A$222</definedName>
    <definedName name="SiegeWeapons">Tabellen!$A$203:$K$222</definedName>
    <definedName name="SkillsMenu">Tabellen!$AV$41:$AV$73</definedName>
    <definedName name="SpellsLearned">Tabellen!$AI$32:$AI$37</definedName>
    <definedName name="VehicleBaseCost">Tabellen!$A$6:$A$8</definedName>
    <definedName name="WeaponMenu">Tabellen!$A$61:$A$181</definedName>
    <definedName name="Weapons">Tabellen!$A$61:$K$181</definedName>
    <definedName name="YesNo">Tabellen!$J$27:$J$28</definedName>
  </definedNames>
  <calcPr calcId="145621"/>
</workbook>
</file>

<file path=xl/calcChain.xml><?xml version="1.0" encoding="utf-8"?>
<calcChain xmlns="http://schemas.openxmlformats.org/spreadsheetml/2006/main">
  <c r="L12" i="9" l="1"/>
  <c r="L11" i="9"/>
  <c r="L12" i="5"/>
  <c r="L13" i="5" l="1"/>
  <c r="T130" i="6" l="1"/>
  <c r="T131" i="6"/>
  <c r="T132" i="6"/>
  <c r="T133" i="6" s="1"/>
  <c r="T134" i="6" s="1"/>
  <c r="V66" i="6" l="1"/>
  <c r="V67" i="6" s="1"/>
  <c r="V68" i="6" s="1"/>
  <c r="V69" i="6" s="1"/>
  <c r="V70" i="6" s="1"/>
  <c r="V71" i="6" s="1"/>
  <c r="V72" i="6" s="1"/>
  <c r="V73" i="6" s="1"/>
  <c r="V74" i="6" s="1"/>
  <c r="V75" i="6" s="1"/>
  <c r="V76" i="6" s="1"/>
  <c r="V77" i="6" s="1"/>
  <c r="V78" i="6" s="1"/>
  <c r="V79" i="6" s="1"/>
  <c r="V80" i="6" s="1"/>
  <c r="V81" i="6" s="1"/>
  <c r="V82" i="6" s="1"/>
  <c r="V83" i="6" s="1"/>
  <c r="V84" i="6" s="1"/>
  <c r="V85" i="6" s="1"/>
  <c r="V86" i="6" s="1"/>
  <c r="V87" i="6" s="1"/>
  <c r="V88" i="6" s="1"/>
  <c r="V89" i="6" s="1"/>
  <c r="V90" i="6" s="1"/>
  <c r="V91" i="6" s="1"/>
  <c r="V92" i="6" s="1"/>
  <c r="V93" i="6" s="1"/>
  <c r="V94" i="6" s="1"/>
  <c r="V95" i="6" s="1"/>
  <c r="V96" i="6" s="1"/>
  <c r="V97" i="6" s="1"/>
  <c r="V98" i="6" s="1"/>
  <c r="V99" i="6" s="1"/>
  <c r="V100" i="6" s="1"/>
  <c r="V101" i="6" s="1"/>
  <c r="V102" i="6" s="1"/>
  <c r="V103" i="6" s="1"/>
  <c r="V104" i="6" s="1"/>
  <c r="V105" i="6" s="1"/>
  <c r="V106" i="6" s="1"/>
  <c r="V107" i="6" s="1"/>
  <c r="V108" i="6" s="1"/>
  <c r="V109" i="6" s="1"/>
  <c r="V110" i="6" s="1"/>
  <c r="V111" i="6" s="1"/>
  <c r="V112" i="6" s="1"/>
  <c r="V113" i="6" s="1"/>
  <c r="V114" i="6" s="1"/>
  <c r="V115" i="6" s="1"/>
  <c r="V116" i="6" s="1"/>
  <c r="V117" i="6" s="1"/>
  <c r="V118" i="6" s="1"/>
  <c r="V119" i="6" s="1"/>
  <c r="V120" i="6" s="1"/>
  <c r="V121" i="6" s="1"/>
  <c r="V122" i="6" s="1"/>
  <c r="V123" i="6" s="1"/>
  <c r="V124" i="6" s="1"/>
  <c r="V125" i="6" s="1"/>
  <c r="V126" i="6" s="1"/>
  <c r="V127" i="6" s="1"/>
  <c r="V128" i="6" s="1"/>
  <c r="V129" i="6" s="1"/>
  <c r="V130" i="6" s="1"/>
  <c r="V131" i="6" s="1"/>
  <c r="V132" i="6" s="1"/>
  <c r="V133" i="6" s="1"/>
  <c r="V134" i="6" s="1"/>
  <c r="V135" i="6" s="1"/>
  <c r="V136" i="6" s="1"/>
  <c r="V137" i="6" s="1"/>
  <c r="V138" i="6" s="1"/>
  <c r="V139" i="6" s="1"/>
  <c r="V140" i="6" s="1"/>
  <c r="V141" i="6" s="1"/>
  <c r="V142" i="6" s="1"/>
  <c r="V143" i="6" s="1"/>
  <c r="V144" i="6" s="1"/>
  <c r="V145" i="6" s="1"/>
  <c r="V146" i="6" s="1"/>
  <c r="V147" i="6" s="1"/>
  <c r="V148" i="6" s="1"/>
  <c r="V149" i="6" s="1"/>
  <c r="V150" i="6" s="1"/>
  <c r="V151" i="6" s="1"/>
  <c r="V152" i="6" s="1"/>
  <c r="V153" i="6" s="1"/>
  <c r="V154" i="6" s="1"/>
  <c r="V155" i="6" s="1"/>
  <c r="V156" i="6" s="1"/>
  <c r="V157" i="6" s="1"/>
  <c r="V158" i="6" s="1"/>
  <c r="V159" i="6" s="1"/>
  <c r="V160" i="6" s="1"/>
  <c r="V161" i="6" s="1"/>
  <c r="V162" i="6" s="1"/>
  <c r="V163" i="6" s="1"/>
  <c r="V164" i="6" s="1"/>
  <c r="V165" i="6" s="1"/>
  <c r="V166" i="6" s="1"/>
  <c r="V167" i="6" s="1"/>
  <c r="V168" i="6" s="1"/>
  <c r="V169" i="6" s="1"/>
  <c r="V170" i="6" s="1"/>
  <c r="V171" i="6" s="1"/>
  <c r="V172" i="6" s="1"/>
  <c r="V173" i="6" s="1"/>
  <c r="V174" i="6" s="1"/>
  <c r="V175" i="6" s="1"/>
  <c r="V176" i="6" s="1"/>
  <c r="V177" i="6" s="1"/>
  <c r="V178" i="6" s="1"/>
  <c r="V179" i="6" s="1"/>
  <c r="V180" i="6" s="1"/>
  <c r="V181" i="6" s="1"/>
  <c r="V182" i="6" s="1"/>
  <c r="V183" i="6" s="1"/>
  <c r="V184" i="6" s="1"/>
  <c r="V185" i="6" s="1"/>
  <c r="V186" i="6" s="1"/>
  <c r="V187" i="6" s="1"/>
  <c r="V188" i="6" s="1"/>
  <c r="V189" i="6" s="1"/>
  <c r="V190" i="6" s="1"/>
  <c r="V191" i="6" s="1"/>
  <c r="V192" i="6" s="1"/>
  <c r="V193" i="6" s="1"/>
  <c r="V194" i="6" s="1"/>
  <c r="V195" i="6" s="1"/>
  <c r="V196" i="6" s="1"/>
  <c r="V197" i="6" s="1"/>
  <c r="V198" i="6" s="1"/>
  <c r="V199" i="6" s="1"/>
  <c r="V200" i="6" s="1"/>
  <c r="V201" i="6" s="1"/>
  <c r="V202" i="6" s="1"/>
  <c r="V203" i="6" s="1"/>
  <c r="V204" i="6" s="1"/>
  <c r="V205" i="6" s="1"/>
  <c r="V206" i="6" s="1"/>
  <c r="V207" i="6" s="1"/>
  <c r="V208" i="6" s="1"/>
  <c r="V209" i="6" s="1"/>
  <c r="V210" i="6" s="1"/>
  <c r="V211" i="6" s="1"/>
  <c r="V212" i="6" s="1"/>
  <c r="V213" i="6" s="1"/>
  <c r="V214" i="6" s="1"/>
  <c r="V215" i="6" s="1"/>
  <c r="V216" i="6" s="1"/>
  <c r="V217" i="6" s="1"/>
  <c r="V218" i="6" s="1"/>
  <c r="V219" i="6" s="1"/>
  <c r="V220" i="6" s="1"/>
  <c r="V221" i="6" s="1"/>
  <c r="V222" i="6" s="1"/>
  <c r="V223" i="6" s="1"/>
  <c r="V224" i="6" s="1"/>
  <c r="V225" i="6" s="1"/>
  <c r="V226" i="6" s="1"/>
  <c r="V227" i="6" s="1"/>
  <c r="V228" i="6" s="1"/>
  <c r="V229" i="6" s="1"/>
  <c r="V230" i="6" s="1"/>
  <c r="V231" i="6" s="1"/>
  <c r="V232" i="6" s="1"/>
  <c r="V233" i="6" s="1"/>
  <c r="V234" i="6" s="1"/>
  <c r="V235" i="6" s="1"/>
  <c r="V236" i="6" s="1"/>
  <c r="V237" i="6" s="1"/>
  <c r="V238" i="6" s="1"/>
  <c r="V239" i="6" s="1"/>
  <c r="V240" i="6" s="1"/>
  <c r="V241" i="6" s="1"/>
  <c r="V242" i="6" s="1"/>
  <c r="V243" i="6" s="1"/>
  <c r="V244" i="6" s="1"/>
  <c r="V245" i="6" s="1"/>
  <c r="V246" i="6" s="1"/>
  <c r="V247" i="6" s="1"/>
  <c r="V248" i="6" s="1"/>
  <c r="V249" i="6" s="1"/>
  <c r="V250" i="6" s="1"/>
  <c r="V251" i="6" s="1"/>
  <c r="V252" i="6" s="1"/>
  <c r="V253" i="6" s="1"/>
  <c r="V254" i="6" s="1"/>
  <c r="V255" i="6" s="1"/>
  <c r="V256" i="6" s="1"/>
  <c r="V257" i="6" s="1"/>
  <c r="V258" i="6" s="1"/>
  <c r="V259" i="6" s="1"/>
  <c r="V260" i="6" s="1"/>
  <c r="V261" i="6" s="1"/>
  <c r="V262" i="6" s="1"/>
  <c r="V263" i="6" s="1"/>
  <c r="V264" i="6" s="1"/>
  <c r="V265" i="6" s="1"/>
  <c r="V266" i="6" s="1"/>
  <c r="V267" i="6" s="1"/>
  <c r="V268" i="6" s="1"/>
  <c r="V269" i="6" s="1"/>
  <c r="V270" i="6" s="1"/>
  <c r="V271" i="6" s="1"/>
  <c r="V272" i="6" s="1"/>
  <c r="V273" i="6" s="1"/>
  <c r="V274" i="6" s="1"/>
  <c r="V275" i="6" s="1"/>
  <c r="V276" i="6" s="1"/>
  <c r="V277" i="6" s="1"/>
  <c r="V278" i="6" s="1"/>
  <c r="V279" i="6" s="1"/>
  <c r="V280" i="6" s="1"/>
  <c r="V281" i="6" s="1"/>
  <c r="V282" i="6" s="1"/>
  <c r="V283" i="6" s="1"/>
  <c r="V284" i="6" s="1"/>
  <c r="V285" i="6" s="1"/>
  <c r="V286" i="6" s="1"/>
  <c r="V287" i="6" s="1"/>
  <c r="V288" i="6" s="1"/>
  <c r="V289" i="6" s="1"/>
  <c r="V290" i="6" s="1"/>
  <c r="V291" i="6" s="1"/>
  <c r="V292" i="6" s="1"/>
  <c r="V293" i="6" s="1"/>
  <c r="V294" i="6" s="1"/>
  <c r="V295" i="6" s="1"/>
  <c r="V296" i="6" s="1"/>
  <c r="V297" i="6" s="1"/>
  <c r="V298" i="6" s="1"/>
  <c r="V299" i="6" s="1"/>
  <c r="V300" i="6" s="1"/>
  <c r="V301" i="6" s="1"/>
  <c r="V302" i="6" s="1"/>
  <c r="V303" i="6" s="1"/>
  <c r="V304" i="6" s="1"/>
  <c r="V305" i="6" s="1"/>
  <c r="V306" i="6" s="1"/>
  <c r="V307" i="6" s="1"/>
  <c r="V308" i="6" s="1"/>
  <c r="V309" i="6" s="1"/>
  <c r="V310" i="6" s="1"/>
  <c r="V311" i="6" s="1"/>
  <c r="V312" i="6" s="1"/>
  <c r="V313" i="6" s="1"/>
  <c r="V314" i="6" s="1"/>
  <c r="V315" i="6" s="1"/>
  <c r="V316" i="6" s="1"/>
  <c r="V317" i="6" s="1"/>
  <c r="V318" i="6" s="1"/>
  <c r="V319" i="6" s="1"/>
  <c r="V320" i="6" s="1"/>
  <c r="V321" i="6" s="1"/>
  <c r="V322" i="6" s="1"/>
  <c r="V323" i="6" s="1"/>
  <c r="V324" i="6" s="1"/>
  <c r="V325" i="6" s="1"/>
  <c r="V326" i="6" s="1"/>
  <c r="V327" i="6" s="1"/>
  <c r="V328" i="6" s="1"/>
  <c r="V329" i="6" s="1"/>
  <c r="V330" i="6" s="1"/>
  <c r="V331" i="6" s="1"/>
  <c r="V332" i="6" s="1"/>
  <c r="V333" i="6" s="1"/>
  <c r="V334" i="6" s="1"/>
  <c r="V335" i="6" s="1"/>
  <c r="V336" i="6" s="1"/>
  <c r="V337" i="6" s="1"/>
  <c r="V338" i="6" s="1"/>
  <c r="V339" i="6" s="1"/>
  <c r="V340" i="6" s="1"/>
  <c r="V341" i="6" s="1"/>
  <c r="V342" i="6" s="1"/>
  <c r="V343" i="6" s="1"/>
  <c r="V344" i="6" s="1"/>
  <c r="V345" i="6" s="1"/>
  <c r="V346" i="6" s="1"/>
  <c r="V347" i="6" s="1"/>
  <c r="V348" i="6" s="1"/>
  <c r="V349" i="6" s="1"/>
  <c r="V350" i="6" s="1"/>
  <c r="V351" i="6" s="1"/>
  <c r="V352" i="6" s="1"/>
  <c r="V353" i="6" s="1"/>
  <c r="V354" i="6" s="1"/>
  <c r="V355" i="6" s="1"/>
  <c r="V356" i="6" s="1"/>
  <c r="V357" i="6" s="1"/>
  <c r="V358" i="6" s="1"/>
  <c r="V359" i="6" s="1"/>
  <c r="V360" i="6" s="1"/>
  <c r="V361" i="6" s="1"/>
  <c r="V362" i="6" s="1"/>
  <c r="V363" i="6" s="1"/>
  <c r="V364" i="6" s="1"/>
  <c r="V365" i="6" s="1"/>
  <c r="V366" i="6" s="1"/>
  <c r="V367" i="6" s="1"/>
  <c r="V368" i="6" s="1"/>
  <c r="V369" i="6" s="1"/>
  <c r="V370" i="6" s="1"/>
  <c r="V371" i="6" s="1"/>
  <c r="V372" i="6" s="1"/>
  <c r="V373" i="6" s="1"/>
  <c r="V374" i="6" s="1"/>
  <c r="V375" i="6" s="1"/>
  <c r="V376" i="6" s="1"/>
  <c r="V377" i="6" s="1"/>
  <c r="V378" i="6" s="1"/>
  <c r="V379" i="6" s="1"/>
  <c r="V380" i="6" s="1"/>
  <c r="V381" i="6" s="1"/>
  <c r="V382" i="6" s="1"/>
  <c r="V383" i="6" s="1"/>
  <c r="V384" i="6" s="1"/>
  <c r="V385" i="6" s="1"/>
  <c r="V386" i="6" s="1"/>
  <c r="V387" i="6" s="1"/>
  <c r="V388" i="6" s="1"/>
  <c r="V389" i="6" s="1"/>
  <c r="V390" i="6" s="1"/>
  <c r="V391" i="6" s="1"/>
  <c r="V392" i="6" s="1"/>
  <c r="V393" i="6" s="1"/>
  <c r="V394" i="6" s="1"/>
  <c r="V395" i="6" s="1"/>
  <c r="V396" i="6" s="1"/>
  <c r="V397" i="6" s="1"/>
  <c r="V398" i="6" s="1"/>
  <c r="V399" i="6" s="1"/>
  <c r="V65" i="6"/>
  <c r="U251" i="6"/>
  <c r="U252" i="6" s="1"/>
  <c r="U253" i="6" s="1"/>
  <c r="U254" i="6" s="1"/>
  <c r="U255" i="6" s="1"/>
  <c r="U256" i="6" s="1"/>
  <c r="U257" i="6" s="1"/>
  <c r="U258" i="6" s="1"/>
  <c r="U259" i="6" s="1"/>
  <c r="U260" i="6" s="1"/>
  <c r="U261" i="6" s="1"/>
  <c r="U262" i="6" s="1"/>
  <c r="U263" i="6" s="1"/>
  <c r="U264" i="6" s="1"/>
  <c r="U265" i="6" s="1"/>
  <c r="U266" i="6" s="1"/>
  <c r="U267" i="6" s="1"/>
  <c r="U268" i="6" s="1"/>
  <c r="U269" i="6" s="1"/>
  <c r="U270" i="6" s="1"/>
  <c r="U271" i="6" s="1"/>
  <c r="U272" i="6" s="1"/>
  <c r="U273" i="6" s="1"/>
  <c r="U274" i="6" s="1"/>
  <c r="U275" i="6" s="1"/>
  <c r="U276" i="6" s="1"/>
  <c r="U277" i="6" s="1"/>
  <c r="U278" i="6" s="1"/>
  <c r="U279" i="6" s="1"/>
  <c r="U280" i="6" s="1"/>
  <c r="U281" i="6" s="1"/>
  <c r="U282" i="6" s="1"/>
  <c r="U283" i="6" s="1"/>
  <c r="U284" i="6" s="1"/>
  <c r="U285" i="6" s="1"/>
  <c r="U286" i="6" s="1"/>
  <c r="U287" i="6" s="1"/>
  <c r="U288" i="6" s="1"/>
  <c r="U289" i="6" s="1"/>
  <c r="U61" i="6"/>
  <c r="U62" i="6"/>
  <c r="U63" i="6" s="1"/>
  <c r="U64" i="6" s="1"/>
  <c r="U65" i="6" s="1"/>
  <c r="U66" i="6" s="1"/>
  <c r="U67" i="6" s="1"/>
  <c r="U68" i="6" s="1"/>
  <c r="U69" i="6" s="1"/>
  <c r="U70" i="6" s="1"/>
  <c r="U71" i="6" s="1"/>
  <c r="U72" i="6" s="1"/>
  <c r="U73" i="6" s="1"/>
  <c r="U74" i="6" s="1"/>
  <c r="U75" i="6" s="1"/>
  <c r="U76" i="6" s="1"/>
  <c r="U77" i="6" s="1"/>
  <c r="U78" i="6" s="1"/>
  <c r="U79" i="6" s="1"/>
  <c r="U80" i="6" s="1"/>
  <c r="U81" i="6" s="1"/>
  <c r="U82" i="6" s="1"/>
  <c r="U83" i="6" s="1"/>
  <c r="U84" i="6" s="1"/>
  <c r="U85" i="6" s="1"/>
  <c r="U86" i="6" s="1"/>
  <c r="U87" i="6" s="1"/>
  <c r="U88" i="6" s="1"/>
  <c r="U89" i="6" s="1"/>
  <c r="U90" i="6" s="1"/>
  <c r="U91" i="6" s="1"/>
  <c r="U92" i="6" s="1"/>
  <c r="U93" i="6" s="1"/>
  <c r="U94" i="6" s="1"/>
  <c r="U95" i="6" s="1"/>
  <c r="U96" i="6" s="1"/>
  <c r="U97" i="6" s="1"/>
  <c r="U98" i="6" s="1"/>
  <c r="U99" i="6" s="1"/>
  <c r="U100" i="6" s="1"/>
  <c r="U101" i="6" s="1"/>
  <c r="U102" i="6" s="1"/>
  <c r="U103" i="6" s="1"/>
  <c r="U104" i="6" s="1"/>
  <c r="U105" i="6" s="1"/>
  <c r="U106" i="6" s="1"/>
  <c r="U107" i="6" s="1"/>
  <c r="U108" i="6" s="1"/>
  <c r="U109" i="6" s="1"/>
  <c r="U110" i="6" s="1"/>
  <c r="U111" i="6" s="1"/>
  <c r="U112" i="6" s="1"/>
  <c r="U113" i="6" s="1"/>
  <c r="U114" i="6" s="1"/>
  <c r="U115" i="6" s="1"/>
  <c r="U116" i="6" s="1"/>
  <c r="U117" i="6" s="1"/>
  <c r="U118" i="6" s="1"/>
  <c r="U119" i="6" s="1"/>
  <c r="U120" i="6" s="1"/>
  <c r="U121" i="6" s="1"/>
  <c r="U122" i="6" s="1"/>
  <c r="U123" i="6" s="1"/>
  <c r="U124" i="6" s="1"/>
  <c r="U125" i="6" s="1"/>
  <c r="U126" i="6" s="1"/>
  <c r="U127" i="6" s="1"/>
  <c r="U128" i="6" s="1"/>
  <c r="U129" i="6" s="1"/>
  <c r="U130" i="6" s="1"/>
  <c r="U131" i="6" s="1"/>
  <c r="U132" i="6" s="1"/>
  <c r="U133" i="6" s="1"/>
  <c r="U134" i="6" s="1"/>
  <c r="U135" i="6" s="1"/>
  <c r="U136" i="6" s="1"/>
  <c r="U137" i="6" s="1"/>
  <c r="U138" i="6" s="1"/>
  <c r="U139" i="6" s="1"/>
  <c r="U140" i="6" s="1"/>
  <c r="U141" i="6" s="1"/>
  <c r="U142" i="6" s="1"/>
  <c r="U143" i="6" s="1"/>
  <c r="U144" i="6" s="1"/>
  <c r="U145" i="6" s="1"/>
  <c r="U146" i="6" s="1"/>
  <c r="U147" i="6" s="1"/>
  <c r="U148" i="6" s="1"/>
  <c r="U149" i="6" s="1"/>
  <c r="U150" i="6" s="1"/>
  <c r="U151" i="6" s="1"/>
  <c r="U152" i="6" s="1"/>
  <c r="U153" i="6" s="1"/>
  <c r="U154" i="6" s="1"/>
  <c r="U155" i="6" s="1"/>
  <c r="U156" i="6" s="1"/>
  <c r="U157" i="6" s="1"/>
  <c r="U158" i="6" s="1"/>
  <c r="U159" i="6" s="1"/>
  <c r="U160" i="6" s="1"/>
  <c r="U161" i="6" s="1"/>
  <c r="U162" i="6" s="1"/>
  <c r="U163" i="6" s="1"/>
  <c r="U164" i="6" s="1"/>
  <c r="U165" i="6" s="1"/>
  <c r="U166" i="6" s="1"/>
  <c r="U167" i="6" s="1"/>
  <c r="U168" i="6" s="1"/>
  <c r="U169" i="6" s="1"/>
  <c r="U170" i="6" s="1"/>
  <c r="U171" i="6" s="1"/>
  <c r="U172" i="6" s="1"/>
  <c r="U173" i="6" s="1"/>
  <c r="U174" i="6" s="1"/>
  <c r="U175" i="6" s="1"/>
  <c r="U176" i="6" s="1"/>
  <c r="U177" i="6" s="1"/>
  <c r="U178" i="6" s="1"/>
  <c r="U179" i="6" s="1"/>
  <c r="U180" i="6" s="1"/>
  <c r="U181" i="6" s="1"/>
  <c r="U182" i="6" s="1"/>
  <c r="U183" i="6" s="1"/>
  <c r="U184" i="6" s="1"/>
  <c r="U185" i="6" s="1"/>
  <c r="U186" i="6" s="1"/>
  <c r="U187" i="6" s="1"/>
  <c r="U188" i="6" s="1"/>
  <c r="U189" i="6" s="1"/>
  <c r="U190" i="6" s="1"/>
  <c r="U191" i="6" s="1"/>
  <c r="U192" i="6" s="1"/>
  <c r="U193" i="6" s="1"/>
  <c r="U194" i="6" s="1"/>
  <c r="U195" i="6" s="1"/>
  <c r="U196" i="6" s="1"/>
  <c r="U197" i="6" s="1"/>
  <c r="U198" i="6" s="1"/>
  <c r="U199" i="6" s="1"/>
  <c r="U200" i="6" s="1"/>
  <c r="U201" i="6" s="1"/>
  <c r="U202" i="6" s="1"/>
  <c r="U203" i="6" s="1"/>
  <c r="U204" i="6" s="1"/>
  <c r="U205" i="6" s="1"/>
  <c r="U206" i="6" s="1"/>
  <c r="U207" i="6" s="1"/>
  <c r="U208" i="6" s="1"/>
  <c r="U209" i="6" s="1"/>
  <c r="U210" i="6" s="1"/>
  <c r="U211" i="6" s="1"/>
  <c r="U212" i="6" s="1"/>
  <c r="U213" i="6" s="1"/>
  <c r="U214" i="6" s="1"/>
  <c r="U215" i="6" s="1"/>
  <c r="U216" i="6" s="1"/>
  <c r="U217" i="6" s="1"/>
  <c r="U218" i="6" s="1"/>
  <c r="U219" i="6" s="1"/>
  <c r="U220" i="6" s="1"/>
  <c r="U221" i="6" s="1"/>
  <c r="U222" i="6" s="1"/>
  <c r="U223" i="6" s="1"/>
  <c r="U224" i="6" s="1"/>
  <c r="U225" i="6" s="1"/>
  <c r="U226" i="6" s="1"/>
  <c r="U227" i="6" s="1"/>
  <c r="U228" i="6" s="1"/>
  <c r="U229" i="6" s="1"/>
  <c r="U230" i="6" s="1"/>
  <c r="U231" i="6" s="1"/>
  <c r="U232" i="6" s="1"/>
  <c r="U233" i="6" s="1"/>
  <c r="U234" i="6" s="1"/>
  <c r="U235" i="6" s="1"/>
  <c r="U236" i="6" s="1"/>
  <c r="U237" i="6" s="1"/>
  <c r="U238" i="6" s="1"/>
  <c r="U239" i="6" s="1"/>
  <c r="U240" i="6" s="1"/>
  <c r="U241" i="6" s="1"/>
  <c r="U242" i="6" s="1"/>
  <c r="U243" i="6" s="1"/>
  <c r="U244" i="6" s="1"/>
  <c r="U245" i="6" s="1"/>
  <c r="U246" i="6" s="1"/>
  <c r="U247" i="6" s="1"/>
  <c r="U248" i="6" s="1"/>
  <c r="U249" i="6" s="1"/>
  <c r="U250" i="6" s="1"/>
  <c r="U60" i="6"/>
  <c r="T56" i="6"/>
  <c r="T57" i="6" s="1"/>
  <c r="T58" i="6" s="1"/>
  <c r="T59" i="6" s="1"/>
  <c r="T60" i="6" s="1"/>
  <c r="T61" i="6" s="1"/>
  <c r="T62" i="6" s="1"/>
  <c r="T63" i="6" s="1"/>
  <c r="T64" i="6" s="1"/>
  <c r="T65" i="6" s="1"/>
  <c r="T66" i="6" s="1"/>
  <c r="T67" i="6" s="1"/>
  <c r="T68" i="6" s="1"/>
  <c r="T69" i="6" s="1"/>
  <c r="T70" i="6" s="1"/>
  <c r="T71" i="6" s="1"/>
  <c r="T72" i="6" s="1"/>
  <c r="T73" i="6" s="1"/>
  <c r="T74" i="6" s="1"/>
  <c r="T75" i="6" s="1"/>
  <c r="T76" i="6" s="1"/>
  <c r="T77" i="6" s="1"/>
  <c r="T78" i="6" s="1"/>
  <c r="T79" i="6" s="1"/>
  <c r="T80" i="6" s="1"/>
  <c r="T81" i="6" s="1"/>
  <c r="T82" i="6" s="1"/>
  <c r="T83" i="6" s="1"/>
  <c r="T84" i="6" s="1"/>
  <c r="T85" i="6" s="1"/>
  <c r="T86" i="6" s="1"/>
  <c r="T87" i="6" s="1"/>
  <c r="T88" i="6" s="1"/>
  <c r="T89" i="6" s="1"/>
  <c r="T90" i="6" s="1"/>
  <c r="T91" i="6" s="1"/>
  <c r="T92" i="6" s="1"/>
  <c r="T93" i="6" s="1"/>
  <c r="T94" i="6" s="1"/>
  <c r="T55" i="6"/>
  <c r="S70" i="6"/>
  <c r="S71" i="6" s="1"/>
  <c r="S72" i="6" s="1"/>
  <c r="S73" i="6" s="1"/>
  <c r="S74" i="6" s="1"/>
  <c r="S75" i="6" s="1"/>
  <c r="S76" i="6" s="1"/>
  <c r="S77" i="6" s="1"/>
  <c r="S78" i="6" s="1"/>
  <c r="S79" i="6" s="1"/>
  <c r="S80" i="6" s="1"/>
  <c r="S81" i="6" s="1"/>
  <c r="S82" i="6" s="1"/>
  <c r="S83" i="6" s="1"/>
  <c r="S84" i="6" s="1"/>
  <c r="S85" i="6" s="1"/>
  <c r="S86" i="6" s="1"/>
  <c r="S87" i="6" s="1"/>
  <c r="S88" i="6" s="1"/>
  <c r="S89" i="6" s="1"/>
  <c r="S54" i="6"/>
  <c r="S55" i="6"/>
  <c r="S56" i="6" s="1"/>
  <c r="S57" i="6" s="1"/>
  <c r="S58" i="6" s="1"/>
  <c r="S59" i="6" s="1"/>
  <c r="S60" i="6" s="1"/>
  <c r="S61" i="6" s="1"/>
  <c r="S62" i="6" s="1"/>
  <c r="S63" i="6" s="1"/>
  <c r="S64" i="6" s="1"/>
  <c r="S65" i="6" s="1"/>
  <c r="S66" i="6" s="1"/>
  <c r="S67" i="6" s="1"/>
  <c r="S68" i="6" s="1"/>
  <c r="S69" i="6" s="1"/>
  <c r="S53" i="6"/>
  <c r="T95" i="6" l="1"/>
  <c r="T96" i="6" s="1"/>
  <c r="T97" i="6" s="1"/>
  <c r="T98" i="6" s="1"/>
  <c r="T99" i="6" s="1"/>
  <c r="T100" i="6" s="1"/>
  <c r="T101" i="6" s="1"/>
  <c r="T102" i="6" s="1"/>
  <c r="T103" i="6" s="1"/>
  <c r="T104" i="6" s="1"/>
  <c r="T105" i="6" s="1"/>
  <c r="T106" i="6" s="1"/>
  <c r="T107" i="6" s="1"/>
  <c r="T108" i="6" s="1"/>
  <c r="T109" i="6" s="1"/>
  <c r="T110" i="6" s="1"/>
  <c r="T111" i="6" s="1"/>
  <c r="T112" i="6" s="1"/>
  <c r="T113" i="6" s="1"/>
  <c r="T114" i="6" s="1"/>
  <c r="T115" i="6" s="1"/>
  <c r="T116" i="6" s="1"/>
  <c r="T117" i="6" s="1"/>
  <c r="T118" i="6" s="1"/>
  <c r="T119" i="6" s="1"/>
  <c r="T120" i="6" s="1"/>
  <c r="T121" i="6" s="1"/>
  <c r="T122" i="6" s="1"/>
  <c r="T123" i="6" s="1"/>
  <c r="T124" i="6" s="1"/>
  <c r="T125" i="6" s="1"/>
  <c r="T126" i="6" s="1"/>
  <c r="T127" i="6" s="1"/>
  <c r="T128" i="6" s="1"/>
  <c r="T129" i="6" s="1"/>
  <c r="D21" i="5"/>
  <c r="F72" i="5"/>
  <c r="I25" i="5" l="1"/>
  <c r="S24" i="9" l="1"/>
  <c r="S23" i="9"/>
  <c r="S22" i="9"/>
  <c r="S21" i="9"/>
  <c r="F37" i="9"/>
  <c r="F32" i="9"/>
  <c r="D37" i="9"/>
  <c r="D32" i="9"/>
  <c r="D47" i="5"/>
  <c r="D42" i="5"/>
  <c r="F42" i="5" l="1"/>
  <c r="S29" i="5" l="1"/>
  <c r="S32" i="5"/>
  <c r="S31" i="5"/>
  <c r="S30" i="5"/>
  <c r="F47" i="5"/>
  <c r="C24" i="9" l="1"/>
  <c r="C23" i="9"/>
  <c r="C21" i="9"/>
  <c r="F24" i="9"/>
  <c r="F23" i="9"/>
  <c r="F22" i="9"/>
  <c r="F21" i="9"/>
  <c r="R24" i="9"/>
  <c r="R23" i="9"/>
  <c r="R21" i="9"/>
  <c r="Q24" i="9"/>
  <c r="Q23" i="9"/>
  <c r="Q22" i="9"/>
  <c r="Q21" i="9"/>
  <c r="P22" i="9"/>
  <c r="I10" i="9" s="1"/>
  <c r="D22" i="9"/>
  <c r="D24" i="9"/>
  <c r="D23" i="9"/>
  <c r="D21" i="9"/>
  <c r="R31" i="5"/>
  <c r="R29" i="5"/>
  <c r="D34" i="5"/>
  <c r="D33" i="5"/>
  <c r="D32" i="5"/>
  <c r="D31" i="5"/>
  <c r="D30" i="5"/>
  <c r="D29" i="5" l="1"/>
  <c r="D9" i="5" l="1"/>
  <c r="G30" i="5" l="1"/>
  <c r="G29" i="5"/>
  <c r="G28" i="5"/>
  <c r="G27" i="5"/>
  <c r="G26" i="5"/>
  <c r="O5" i="9" l="1"/>
  <c r="H5" i="9"/>
  <c r="H6" i="9"/>
  <c r="M6" i="9"/>
  <c r="D39" i="9"/>
  <c r="D38" i="9"/>
  <c r="D35" i="9"/>
  <c r="D36" i="9"/>
  <c r="D49" i="5"/>
  <c r="D48" i="5"/>
  <c r="D46" i="5"/>
  <c r="D45" i="5"/>
  <c r="D43" i="5"/>
  <c r="D41" i="5"/>
  <c r="D40" i="5"/>
  <c r="D39" i="5"/>
  <c r="D33" i="9"/>
  <c r="D31" i="9"/>
  <c r="D30" i="9"/>
  <c r="D29" i="9"/>
  <c r="K12" i="9"/>
  <c r="K11" i="9"/>
  <c r="K10" i="9"/>
  <c r="M5" i="9"/>
  <c r="K9" i="9"/>
  <c r="F16" i="9"/>
  <c r="D13" i="9"/>
  <c r="D14" i="5"/>
  <c r="F14" i="5"/>
  <c r="D15" i="5"/>
  <c r="D7" i="9"/>
  <c r="D8" i="5"/>
  <c r="D7" i="5"/>
  <c r="F39" i="9"/>
  <c r="R22" i="9" s="1"/>
  <c r="N10" i="9" s="1"/>
  <c r="F38" i="9"/>
  <c r="F36" i="9"/>
  <c r="C22" i="9" s="1"/>
  <c r="F35" i="9"/>
  <c r="F33" i="9"/>
  <c r="F31" i="9"/>
  <c r="F30" i="9"/>
  <c r="H12" i="9" s="1"/>
  <c r="F29" i="9"/>
  <c r="M33" i="9"/>
  <c r="J33" i="9"/>
  <c r="D16" i="9"/>
  <c r="D14" i="9"/>
  <c r="D12" i="9"/>
  <c r="G12" i="9"/>
  <c r="G11" i="9"/>
  <c r="G10" i="9"/>
  <c r="L10" i="9" s="1"/>
  <c r="G9" i="9"/>
  <c r="L9" i="9" s="1"/>
  <c r="D6" i="9"/>
  <c r="M12" i="9" l="1"/>
  <c r="N12" i="9"/>
  <c r="N9" i="9"/>
  <c r="J9" i="9"/>
  <c r="M9" i="9"/>
  <c r="M10" i="9"/>
  <c r="J10" i="9"/>
  <c r="N11" i="9"/>
  <c r="M11" i="9"/>
  <c r="P23" i="9"/>
  <c r="I11" i="9" s="1"/>
  <c r="P21" i="9"/>
  <c r="I9" i="9" s="1"/>
  <c r="P24" i="9"/>
  <c r="I12" i="9" s="1"/>
  <c r="J11" i="9"/>
  <c r="J12" i="9"/>
  <c r="H10" i="9"/>
  <c r="H11" i="9"/>
  <c r="H9" i="9"/>
  <c r="D44" i="9"/>
  <c r="O33" i="9" s="1"/>
  <c r="E11" i="9"/>
  <c r="E20" i="9"/>
  <c r="E28" i="9"/>
  <c r="E5" i="9"/>
  <c r="D81" i="5"/>
  <c r="O7" i="5" l="1"/>
  <c r="H6" i="5" l="1"/>
  <c r="H7" i="5"/>
  <c r="O5" i="5"/>
  <c r="K13" i="5" l="1"/>
  <c r="L13" i="8" s="1"/>
  <c r="G13" i="5"/>
  <c r="M13" i="5" s="1"/>
  <c r="F46" i="5"/>
  <c r="M13" i="8" l="1"/>
  <c r="H13" i="8"/>
  <c r="F38" i="8" l="1"/>
  <c r="F36" i="8"/>
  <c r="H30" i="8"/>
  <c r="K30" i="8" s="1"/>
  <c r="H29" i="8"/>
  <c r="O29" i="8" s="1"/>
  <c r="H28" i="8"/>
  <c r="J28" i="8" s="1"/>
  <c r="H27" i="8"/>
  <c r="O27" i="8" s="1"/>
  <c r="H26" i="8"/>
  <c r="L26" i="8" s="1"/>
  <c r="K26" i="8" l="1"/>
  <c r="I26" i="8"/>
  <c r="N26" i="8"/>
  <c r="J26" i="8"/>
  <c r="O26" i="8"/>
  <c r="N27" i="8"/>
  <c r="I27" i="8"/>
  <c r="K27" i="8"/>
  <c r="J27" i="8"/>
  <c r="L27" i="8"/>
  <c r="J30" i="8"/>
  <c r="O30" i="8"/>
  <c r="I30" i="8"/>
  <c r="N30" i="8"/>
  <c r="L30" i="8"/>
  <c r="I29" i="8"/>
  <c r="J29" i="8"/>
  <c r="K29" i="8"/>
  <c r="L29" i="8"/>
  <c r="N29" i="8"/>
  <c r="L28" i="8"/>
  <c r="N28" i="8"/>
  <c r="O28" i="8"/>
  <c r="K28" i="8"/>
  <c r="I28" i="8"/>
  <c r="M33" i="5" l="1"/>
  <c r="N33" i="8" s="1"/>
  <c r="J33" i="5"/>
  <c r="K33" i="8" s="1"/>
  <c r="O25" i="5"/>
  <c r="O20" i="5" l="1"/>
  <c r="N23" i="5"/>
  <c r="H23" i="5"/>
  <c r="N22" i="5"/>
  <c r="N21" i="5"/>
  <c r="H22" i="5"/>
  <c r="H21" i="5"/>
  <c r="D59" i="5"/>
  <c r="D58" i="5"/>
  <c r="D57" i="5"/>
  <c r="D56" i="5"/>
  <c r="D55" i="5"/>
  <c r="E53" i="5" l="1"/>
  <c r="K12" i="5" l="1"/>
  <c r="L12" i="8" s="1"/>
  <c r="K11" i="5"/>
  <c r="L11" i="8" s="1"/>
  <c r="K10" i="5"/>
  <c r="F41" i="5"/>
  <c r="F40" i="5"/>
  <c r="G12" i="5"/>
  <c r="G11" i="5"/>
  <c r="L11" i="5" s="1"/>
  <c r="G10" i="5"/>
  <c r="L10" i="5" s="1"/>
  <c r="P7" i="8"/>
  <c r="M7" i="5"/>
  <c r="N7" i="8" s="1"/>
  <c r="O6" i="5"/>
  <c r="P6" i="8" s="1"/>
  <c r="M6" i="5"/>
  <c r="N6" i="8" s="1"/>
  <c r="P5" i="8"/>
  <c r="H5" i="5"/>
  <c r="I5" i="8" s="1"/>
  <c r="M12" i="8" l="1"/>
  <c r="M11" i="8"/>
  <c r="M10" i="8"/>
  <c r="C29" i="5"/>
  <c r="H10" i="5" s="1"/>
  <c r="C31" i="5"/>
  <c r="H12" i="5" s="1"/>
  <c r="C34" i="5"/>
  <c r="C30" i="5"/>
  <c r="H11" i="5" s="1"/>
  <c r="C33" i="5"/>
  <c r="C32" i="5"/>
  <c r="H13" i="5" s="1"/>
  <c r="P32" i="5"/>
  <c r="I13" i="5" s="1"/>
  <c r="P31" i="5"/>
  <c r="I12" i="5" s="1"/>
  <c r="P34" i="5"/>
  <c r="P30" i="5"/>
  <c r="I11" i="5" s="1"/>
  <c r="P33" i="5"/>
  <c r="P29" i="5"/>
  <c r="I10" i="5" s="1"/>
  <c r="N12" i="5"/>
  <c r="L10" i="8"/>
  <c r="N10" i="5"/>
  <c r="O10" i="8" s="1"/>
  <c r="E28" i="5"/>
  <c r="H11" i="8"/>
  <c r="H12" i="8"/>
  <c r="H10" i="8"/>
  <c r="F21" i="5"/>
  <c r="I7" i="8"/>
  <c r="I6" i="8"/>
  <c r="I11" i="8" l="1"/>
  <c r="J10" i="8"/>
  <c r="I10" i="8"/>
  <c r="J11" i="8"/>
  <c r="I13" i="8"/>
  <c r="I12" i="8"/>
  <c r="J12" i="8"/>
  <c r="J13" i="8"/>
  <c r="F44" i="8"/>
  <c r="F42" i="8"/>
  <c r="F40" i="8"/>
  <c r="F43" i="8" l="1"/>
  <c r="F41" i="8"/>
  <c r="F39" i="8"/>
  <c r="F37" i="8"/>
  <c r="F35" i="8"/>
  <c r="E27" i="8"/>
  <c r="D27" i="8"/>
  <c r="C27" i="8"/>
  <c r="B27" i="8"/>
  <c r="A27" i="8"/>
  <c r="E24" i="8"/>
  <c r="D24" i="8"/>
  <c r="C24" i="8"/>
  <c r="B24" i="8"/>
  <c r="A24" i="8"/>
  <c r="F24" i="8" l="1"/>
  <c r="F27" i="8"/>
  <c r="E21" i="8"/>
  <c r="D21" i="8"/>
  <c r="C21" i="8"/>
  <c r="B21" i="8"/>
  <c r="A21" i="8"/>
  <c r="E18" i="8"/>
  <c r="D18" i="8"/>
  <c r="C18" i="8"/>
  <c r="B18" i="8"/>
  <c r="A18" i="8"/>
  <c r="E15" i="8"/>
  <c r="D15" i="8"/>
  <c r="C15" i="8"/>
  <c r="B15" i="8"/>
  <c r="A15" i="8"/>
  <c r="E12" i="8"/>
  <c r="D12" i="8"/>
  <c r="C12" i="8"/>
  <c r="B12" i="8"/>
  <c r="A12" i="8"/>
  <c r="F18" i="8" l="1"/>
  <c r="F12" i="8"/>
  <c r="F21" i="8"/>
  <c r="F15" i="8"/>
  <c r="D72" i="5" l="1"/>
  <c r="D71" i="5"/>
  <c r="D69" i="5"/>
  <c r="D68" i="5"/>
  <c r="D67" i="5"/>
  <c r="D66" i="5"/>
  <c r="D65" i="5"/>
  <c r="D64" i="5"/>
  <c r="E63" i="5" l="1"/>
  <c r="D23" i="5"/>
  <c r="F49" i="5" l="1"/>
  <c r="F48" i="5"/>
  <c r="F45" i="5"/>
  <c r="F34" i="5" s="1"/>
  <c r="F43" i="5"/>
  <c r="R33" i="5" l="1"/>
  <c r="R34" i="5"/>
  <c r="R30" i="5"/>
  <c r="N11" i="5" s="1"/>
  <c r="R32" i="5"/>
  <c r="N13" i="5" s="1"/>
  <c r="O13" i="8" s="1"/>
  <c r="F29" i="5"/>
  <c r="J10" i="5" s="1"/>
  <c r="Q34" i="5"/>
  <c r="Q30" i="5"/>
  <c r="M11" i="5" s="1"/>
  <c r="Q29" i="5"/>
  <c r="M10" i="5" s="1"/>
  <c r="N10" i="8" s="1"/>
  <c r="Q32" i="5"/>
  <c r="Q31" i="5"/>
  <c r="M12" i="5" s="1"/>
  <c r="Q33" i="5"/>
  <c r="F39" i="5"/>
  <c r="F30" i="5" s="1"/>
  <c r="J11" i="5" s="1"/>
  <c r="N13" i="8" l="1"/>
  <c r="F33" i="5"/>
  <c r="F32" i="5"/>
  <c r="J13" i="5" s="1"/>
  <c r="K13" i="8" s="1"/>
  <c r="F31" i="5"/>
  <c r="J12" i="5" s="1"/>
  <c r="K12" i="8" s="1"/>
  <c r="K10" i="8"/>
  <c r="N11" i="8"/>
  <c r="O12" i="8"/>
  <c r="N12" i="8"/>
  <c r="K11" i="8"/>
  <c r="O11" i="8"/>
  <c r="D24" i="5"/>
  <c r="E38" i="5" l="1"/>
  <c r="D19" i="5"/>
  <c r="D18" i="5"/>
  <c r="D17" i="5"/>
  <c r="E13" i="5" l="1"/>
  <c r="D6" i="5"/>
  <c r="E5" i="5" s="1"/>
  <c r="D75" i="5" l="1"/>
  <c r="O33" i="5" s="1"/>
  <c r="E9" i="8" l="1"/>
  <c r="D9" i="8"/>
  <c r="C9" i="8"/>
  <c r="D6" i="8"/>
  <c r="B6" i="8"/>
  <c r="A6" i="8"/>
  <c r="B9" i="8"/>
  <c r="C6" i="8"/>
  <c r="A9" i="8"/>
  <c r="E6" i="8"/>
  <c r="F9" i="8" l="1"/>
  <c r="F6" i="8"/>
  <c r="F47" i="8" l="1"/>
  <c r="P33" i="8" s="1"/>
  <c r="M25" i="5" l="1"/>
</calcChain>
</file>

<file path=xl/comments1.xml><?xml version="1.0" encoding="utf-8"?>
<comments xmlns="http://schemas.openxmlformats.org/spreadsheetml/2006/main">
  <authors>
    <author>Sebastian</author>
  </authors>
  <commentList>
    <comment ref="D4" authorId="0">
      <text>
        <r>
          <rPr>
            <b/>
            <sz val="8"/>
            <color indexed="81"/>
            <rFont val="Tahoma"/>
            <charset val="1"/>
          </rPr>
          <t>Sebastian:</t>
        </r>
        <r>
          <rPr>
            <sz val="8"/>
            <color indexed="81"/>
            <rFont val="Tahoma"/>
            <charset val="1"/>
          </rPr>
          <t xml:space="preserve">
Deprecated; don't use because it's too restrictive.
</t>
        </r>
      </text>
    </comment>
  </commentList>
</comments>
</file>

<file path=xl/sharedStrings.xml><?xml version="1.0" encoding="utf-8"?>
<sst xmlns="http://schemas.openxmlformats.org/spreadsheetml/2006/main" count="1266" uniqueCount="491">
  <si>
    <t>Defense</t>
  </si>
  <si>
    <t>High</t>
  </si>
  <si>
    <t>Shield Bonus</t>
  </si>
  <si>
    <t>Armor</t>
  </si>
  <si>
    <t>Morale</t>
  </si>
  <si>
    <t>Damage</t>
  </si>
  <si>
    <t>Short Sword</t>
  </si>
  <si>
    <t>Handaxe</t>
  </si>
  <si>
    <t>Weapon Costs</t>
  </si>
  <si>
    <t>Size</t>
  </si>
  <si>
    <t>Selection</t>
  </si>
  <si>
    <t>Point Cost</t>
  </si>
  <si>
    <t>Human</t>
  </si>
  <si>
    <t>Dwarf</t>
  </si>
  <si>
    <t>Elf</t>
  </si>
  <si>
    <t>Hirazi</t>
  </si>
  <si>
    <t>Goblin</t>
  </si>
  <si>
    <t>Hue-Eater</t>
  </si>
  <si>
    <t>Giant</t>
  </si>
  <si>
    <t>Titan</t>
  </si>
  <si>
    <t>Animal</t>
  </si>
  <si>
    <t>Undead</t>
  </si>
  <si>
    <t>Giant Animal</t>
  </si>
  <si>
    <t>Land Creature</t>
  </si>
  <si>
    <t>Flying Beast</t>
  </si>
  <si>
    <t>Dragon</t>
  </si>
  <si>
    <t>Demon</t>
  </si>
  <si>
    <t>Troll</t>
  </si>
  <si>
    <t>Ogre</t>
  </si>
  <si>
    <t>Movement</t>
  </si>
  <si>
    <t>Endurance</t>
  </si>
  <si>
    <t>Maneuver</t>
  </si>
  <si>
    <t>Resistance</t>
  </si>
  <si>
    <t>Melee Extra D6s</t>
  </si>
  <si>
    <t>Melee Extra D10s</t>
  </si>
  <si>
    <t>Missile Extra D6s</t>
  </si>
  <si>
    <t>Small</t>
  </si>
  <si>
    <t>Medium</t>
  </si>
  <si>
    <t>Large</t>
  </si>
  <si>
    <t>Huge</t>
  </si>
  <si>
    <t>Movement Costs</t>
  </si>
  <si>
    <t>Defense Costs</t>
  </si>
  <si>
    <t>Endurance Costs</t>
  </si>
  <si>
    <t>Morale Costs</t>
  </si>
  <si>
    <t>Maneuver Costs</t>
  </si>
  <si>
    <t>MeleeFixed</t>
  </si>
  <si>
    <t>MeleeFixed Costs</t>
  </si>
  <si>
    <t>normal</t>
  </si>
  <si>
    <t>MeleeExtraD6</t>
  </si>
  <si>
    <t>MeleeExtraD6 Costs</t>
  </si>
  <si>
    <t>none</t>
  </si>
  <si>
    <t>+1D6</t>
  </si>
  <si>
    <t>+2D6</t>
  </si>
  <si>
    <t>MeleeExtraD10</t>
  </si>
  <si>
    <t>MeleeExtraD10 Costs</t>
  </si>
  <si>
    <t>+1D10</t>
  </si>
  <si>
    <t>MeleeDamage</t>
  </si>
  <si>
    <t>MeleeDamage Costs</t>
  </si>
  <si>
    <t>MissileFixed</t>
  </si>
  <si>
    <t>MissileFixed Costs</t>
  </si>
  <si>
    <t>MissileExtraD6</t>
  </si>
  <si>
    <t>MissileExtraD6 Costs</t>
  </si>
  <si>
    <t>MissileDamage</t>
  </si>
  <si>
    <t>MissileDamage Costs</t>
  </si>
  <si>
    <t>RangeMod</t>
  </si>
  <si>
    <t>RangeMod Costs</t>
  </si>
  <si>
    <t>Race</t>
  </si>
  <si>
    <t>Race Values</t>
  </si>
  <si>
    <t>MoveRate</t>
  </si>
  <si>
    <t>Attack Type</t>
  </si>
  <si>
    <t>Range Inc</t>
  </si>
  <si>
    <t>Dagger</t>
  </si>
  <si>
    <t>Main Gauche</t>
  </si>
  <si>
    <t>Invader/Assailer</t>
  </si>
  <si>
    <t>Rapier</t>
  </si>
  <si>
    <t>Broadsword</t>
  </si>
  <si>
    <t>Scimitar</t>
  </si>
  <si>
    <t>Falchion</t>
  </si>
  <si>
    <t>Base</t>
  </si>
  <si>
    <t>Costs</t>
  </si>
  <si>
    <t>Whip</t>
  </si>
  <si>
    <t>Club</t>
  </si>
  <si>
    <t>Mace</t>
  </si>
  <si>
    <t>Warhammer</t>
  </si>
  <si>
    <t>Morning Star</t>
  </si>
  <si>
    <t>Bola</t>
  </si>
  <si>
    <t>Short Bow</t>
  </si>
  <si>
    <t>Sling</t>
  </si>
  <si>
    <t>Lt X-Bow</t>
  </si>
  <si>
    <t>Comp. Bow</t>
  </si>
  <si>
    <t>Long Bow</t>
  </si>
  <si>
    <t>Hvy X-Bow</t>
  </si>
  <si>
    <t>Javelin</t>
  </si>
  <si>
    <t>Spear</t>
  </si>
  <si>
    <t>Polearm</t>
  </si>
  <si>
    <t>Mounted Lance</t>
  </si>
  <si>
    <t>Quarterstaff</t>
  </si>
  <si>
    <t>War Mattock</t>
  </si>
  <si>
    <t>Flail</t>
  </si>
  <si>
    <t>Battleaxe</t>
  </si>
  <si>
    <t>2 Handed Sword</t>
  </si>
  <si>
    <t>Low</t>
  </si>
  <si>
    <t>Med</t>
  </si>
  <si>
    <t>Critter</t>
  </si>
  <si>
    <t>---One-Handed Edged</t>
  </si>
  <si>
    <t>---One-Handed Concussion</t>
  </si>
  <si>
    <t>---Missile Weapons</t>
  </si>
  <si>
    <t>---Polearms</t>
  </si>
  <si>
    <t>---Two-Handed Weapons</t>
  </si>
  <si>
    <t>---Miscellaneous</t>
  </si>
  <si>
    <t>---MA: Sweeps &amp; Throws</t>
  </si>
  <si>
    <t>---MA: Strikes</t>
  </si>
  <si>
    <t>---Animal &amp; Natural Attacks</t>
  </si>
  <si>
    <t>---Stinger</t>
  </si>
  <si>
    <t>---Grapple-Grasp-Swallow-Envelop</t>
  </si>
  <si>
    <t>---Ram-Butt-Bash-Knock Down Slug</t>
  </si>
  <si>
    <t>---Claw-Talon</t>
  </si>
  <si>
    <t>---Beak-Pincher</t>
  </si>
  <si>
    <t>---Horn-Tusk</t>
  </si>
  <si>
    <t>---Trample-Stomp</t>
  </si>
  <si>
    <t>---Bite</t>
  </si>
  <si>
    <t>---Fall-Crush</t>
  </si>
  <si>
    <t>---Tiny Animal Attack</t>
  </si>
  <si>
    <t>Max</t>
  </si>
  <si>
    <t>Small Stinger</t>
  </si>
  <si>
    <t>Medium Stinger</t>
  </si>
  <si>
    <t>Large Stinger</t>
  </si>
  <si>
    <t>Huge Stinger</t>
  </si>
  <si>
    <t>Small Grapple</t>
  </si>
  <si>
    <t>Medium Grapple</t>
  </si>
  <si>
    <t>Large Grapple</t>
  </si>
  <si>
    <t>Huge Grapple</t>
  </si>
  <si>
    <t>Small Bash</t>
  </si>
  <si>
    <t>Medium Bash</t>
  </si>
  <si>
    <t>Large Bash</t>
  </si>
  <si>
    <t>Huge Bash</t>
  </si>
  <si>
    <t>Small Claw</t>
  </si>
  <si>
    <t>Medium Claw</t>
  </si>
  <si>
    <t>Large Claw</t>
  </si>
  <si>
    <t>Huge Claw</t>
  </si>
  <si>
    <t>Small Beak</t>
  </si>
  <si>
    <t>Medium Beak</t>
  </si>
  <si>
    <t>Large Beak</t>
  </si>
  <si>
    <t>Huge Beak</t>
  </si>
  <si>
    <t>Small Horn</t>
  </si>
  <si>
    <t>Medium Horn</t>
  </si>
  <si>
    <t>Large Horn</t>
  </si>
  <si>
    <t>Huge Horn</t>
  </si>
  <si>
    <t>Small Trample</t>
  </si>
  <si>
    <t>Medium Trample</t>
  </si>
  <si>
    <t>Large Trample</t>
  </si>
  <si>
    <t>Huge Trample</t>
  </si>
  <si>
    <t>Small Bite</t>
  </si>
  <si>
    <t>Medium Bite</t>
  </si>
  <si>
    <t>Large Bite</t>
  </si>
  <si>
    <t>Huge Bite</t>
  </si>
  <si>
    <t>Small Crush</t>
  </si>
  <si>
    <t>Medium Crush</t>
  </si>
  <si>
    <t>Large Crush</t>
  </si>
  <si>
    <t>Huge Crush</t>
  </si>
  <si>
    <t>Abilty to Cast</t>
  </si>
  <si>
    <t>Level 1</t>
  </si>
  <si>
    <t>Level 2</t>
  </si>
  <si>
    <t>Level 3</t>
  </si>
  <si>
    <t>Level 4</t>
  </si>
  <si>
    <t>Level 5</t>
  </si>
  <si>
    <t>SpellsLearned</t>
  </si>
  <si>
    <t>Number</t>
  </si>
  <si>
    <t>Power Points</t>
  </si>
  <si>
    <t>PowerPoints</t>
  </si>
  <si>
    <t>Cost</t>
  </si>
  <si>
    <t>PowerPointCosts</t>
  </si>
  <si>
    <t>Powerpoints</t>
  </si>
  <si>
    <t>Elemental Spell Bonus</t>
  </si>
  <si>
    <t>Melee Boost</t>
  </si>
  <si>
    <t>Missile Boost</t>
  </si>
  <si>
    <t>Morale Boost</t>
  </si>
  <si>
    <t>Defense Boost</t>
  </si>
  <si>
    <t>Maneuver Boost</t>
  </si>
  <si>
    <t>0"</t>
  </si>
  <si>
    <t>5"</t>
  </si>
  <si>
    <t>10"</t>
  </si>
  <si>
    <t>15"</t>
  </si>
  <si>
    <t>20"</t>
  </si>
  <si>
    <t>LeaderRange</t>
  </si>
  <si>
    <t>LeaderCosts</t>
  </si>
  <si>
    <t>LeaderBoost</t>
  </si>
  <si>
    <t>Inch</t>
  </si>
  <si>
    <t>Full</t>
  </si>
  <si>
    <t>cm</t>
  </si>
  <si>
    <t>Combatant Calculator</t>
  </si>
  <si>
    <t>Unit Calculator</t>
  </si>
  <si>
    <t>Slot #5</t>
  </si>
  <si>
    <t>Slot #4</t>
  </si>
  <si>
    <t>Slot #3</t>
  </si>
  <si>
    <t>Slot #2</t>
  </si>
  <si>
    <t>Slot #1</t>
  </si>
  <si>
    <t>Slot #6</t>
  </si>
  <si>
    <t>Slot #7</t>
  </si>
  <si>
    <t>Slot #8</t>
  </si>
  <si>
    <t>Slot #9</t>
  </si>
  <si>
    <t>Slot #10</t>
  </si>
  <si>
    <t>Slot #11</t>
  </si>
  <si>
    <t>Slot #12</t>
  </si>
  <si>
    <t>Slot #13</t>
  </si>
  <si>
    <t>Slot #14</t>
  </si>
  <si>
    <t>Slot #15</t>
  </si>
  <si>
    <t>Slot #16</t>
  </si>
  <si>
    <t>Slot #17</t>
  </si>
  <si>
    <t>Slot #18</t>
  </si>
  <si>
    <t>Slot #19</t>
  </si>
  <si>
    <t>Slot #20</t>
  </si>
  <si>
    <t>Slot #21</t>
  </si>
  <si>
    <t>Slot #22</t>
  </si>
  <si>
    <t>Slot #23</t>
  </si>
  <si>
    <t>Slot #24</t>
  </si>
  <si>
    <t>Slot #25</t>
  </si>
  <si>
    <t>Slot #26</t>
  </si>
  <si>
    <t>Slot #27</t>
  </si>
  <si>
    <t>Slot #28</t>
  </si>
  <si>
    <t>Slot #29</t>
  </si>
  <si>
    <t>Slot #30</t>
  </si>
  <si>
    <t>Slot #31</t>
  </si>
  <si>
    <t>Slot #32</t>
  </si>
  <si>
    <t>Slot #33</t>
  </si>
  <si>
    <t>Slot #34</t>
  </si>
  <si>
    <t>Slot #35</t>
  </si>
  <si>
    <t>Slot #36</t>
  </si>
  <si>
    <t>Slot #37</t>
  </si>
  <si>
    <t>Slot #38</t>
  </si>
  <si>
    <t>Slot #39</t>
  </si>
  <si>
    <t>Slot #40</t>
  </si>
  <si>
    <t>Battle Order</t>
  </si>
  <si>
    <t>General Order</t>
  </si>
  <si>
    <t>Column</t>
  </si>
  <si>
    <t>Square</t>
  </si>
  <si>
    <t>Hedgehog</t>
  </si>
  <si>
    <t>Line</t>
  </si>
  <si>
    <t>Shield Wall</t>
  </si>
  <si>
    <t>Phalanx</t>
  </si>
  <si>
    <t>Formation</t>
  </si>
  <si>
    <t>Formation Costs</t>
  </si>
  <si>
    <t>Unit Maneuver</t>
  </si>
  <si>
    <t>None</t>
  </si>
  <si>
    <t>Minimum Unit Size</t>
  </si>
  <si>
    <t>Maximum Unit Size</t>
  </si>
  <si>
    <t>Maneuver Mod</t>
  </si>
  <si>
    <t>Formation Maneuvers</t>
  </si>
  <si>
    <t>Formation Maneuver Costs</t>
  </si>
  <si>
    <t>FormationManeuverMod</t>
  </si>
  <si>
    <t>1/2</t>
  </si>
  <si>
    <t>Name:</t>
  </si>
  <si>
    <t>Movement:</t>
  </si>
  <si>
    <t>8/6/4/2</t>
  </si>
  <si>
    <t>28/21/14/7</t>
  </si>
  <si>
    <t>5/4/3/1</t>
  </si>
  <si>
    <t>10/8/5/3</t>
  </si>
  <si>
    <t>13/10/7/4</t>
  </si>
  <si>
    <t>15/12/8/4</t>
  </si>
  <si>
    <t>18/14/9/5</t>
  </si>
  <si>
    <t>20/15/19/5</t>
  </si>
  <si>
    <t>23/18/12/6</t>
  </si>
  <si>
    <t>25/19/13/7</t>
  </si>
  <si>
    <t>30/23/15/8</t>
  </si>
  <si>
    <t>33/25/17/9</t>
  </si>
  <si>
    <t>36/27/18/9</t>
  </si>
  <si>
    <t>38/29/19/10</t>
  </si>
  <si>
    <t>41/31/21/11</t>
  </si>
  <si>
    <t>43/32/22/11</t>
  </si>
  <si>
    <t>46/35/23/12</t>
  </si>
  <si>
    <t>48/36/24/12</t>
  </si>
  <si>
    <t>51/38/26/13</t>
  </si>
  <si>
    <t>54/41/27/14</t>
  </si>
  <si>
    <t>56/42/28/14</t>
  </si>
  <si>
    <t>59/44/30/15</t>
  </si>
  <si>
    <t>61/46/31/16</t>
  </si>
  <si>
    <t>64/48/32/16</t>
  </si>
  <si>
    <t>66/50/33/17</t>
  </si>
  <si>
    <t>69/52/35/17</t>
  </si>
  <si>
    <t>71/53/36/18</t>
  </si>
  <si>
    <t>74/56/38/19</t>
  </si>
  <si>
    <t>76/57/38/19</t>
  </si>
  <si>
    <t>79/59/40/20</t>
  </si>
  <si>
    <t>81/61/41/21</t>
  </si>
  <si>
    <t>2"/1.5"/1"/0.5"</t>
  </si>
  <si>
    <t>3"/2.5"/1.5"/1"</t>
  </si>
  <si>
    <t>4"/3"/2"/1"</t>
  </si>
  <si>
    <t>5"/4"/2.5"/1.5"</t>
  </si>
  <si>
    <t>6"/4.5"/3"/1.5"</t>
  </si>
  <si>
    <t>7"/5.5"/3.5"/2"</t>
  </si>
  <si>
    <t>8"/6"/4"/2"</t>
  </si>
  <si>
    <t>9"/7"/4.5"/2.5"</t>
  </si>
  <si>
    <t>10"/7.5"/5"/2.5"</t>
  </si>
  <si>
    <t>11"/8.5"/5.5"/3"</t>
  </si>
  <si>
    <t>12"/9"/6"/3"</t>
  </si>
  <si>
    <t>13"/10"/6.5"/3.5"</t>
  </si>
  <si>
    <t>14"/10.5"/7"/3.5"</t>
  </si>
  <si>
    <t>15"/11.5"/7.5"/4"</t>
  </si>
  <si>
    <t>16"/12"/8"/4"</t>
  </si>
  <si>
    <t>17"/13"/8.5"/4.5"</t>
  </si>
  <si>
    <t>18"/13.5"/9"/4.5"</t>
  </si>
  <si>
    <t>19"/14"/9.5"/5"</t>
  </si>
  <si>
    <t>20"/15"/10"/5"</t>
  </si>
  <si>
    <t>21"/16"/10.5"/5.5"</t>
  </si>
  <si>
    <t>22"/16.5"/11"/5.5"</t>
  </si>
  <si>
    <t>23"/17.5"/11.5"/6"</t>
  </si>
  <si>
    <t>24"/18"/12"/6"</t>
  </si>
  <si>
    <t>25"/19"/12.5"/6.5"</t>
  </si>
  <si>
    <t>26"/19.5"/132/6.5"</t>
  </si>
  <si>
    <t>27"/20.5"/13.5"/7"</t>
  </si>
  <si>
    <t>28"/21"/14"/7"</t>
  </si>
  <si>
    <t>29"/22"/14.5"/7.5"</t>
  </si>
  <si>
    <t>30"/22.5"/15"/7.5"</t>
  </si>
  <si>
    <t>31"/23.5"/15.5"/8"</t>
  </si>
  <si>
    <t>32"/242/16"/8"</t>
  </si>
  <si>
    <t>Shield Bonus:</t>
  </si>
  <si>
    <t>Armor:</t>
  </si>
  <si>
    <t>Defense:</t>
  </si>
  <si>
    <t>Morale:</t>
  </si>
  <si>
    <t>Endurance:</t>
  </si>
  <si>
    <t>Maneuver:</t>
  </si>
  <si>
    <t>Resistance:</t>
  </si>
  <si>
    <t>Range</t>
  </si>
  <si>
    <t>Weapon:</t>
  </si>
  <si>
    <t>Attack:</t>
  </si>
  <si>
    <t>Damage:</t>
  </si>
  <si>
    <t>Range:</t>
  </si>
  <si>
    <t>D6</t>
  </si>
  <si>
    <t>D10</t>
  </si>
  <si>
    <t>Skill</t>
  </si>
  <si>
    <t>Dmg Bonus</t>
  </si>
  <si>
    <t>#</t>
  </si>
  <si>
    <t>High+Low</t>
  </si>
  <si>
    <t>Melee Attack Bonus</t>
  </si>
  <si>
    <t>Missile Attack Bonus</t>
  </si>
  <si>
    <t>Melee Damage Bonus</t>
  </si>
  <si>
    <t>Missile Damage Bonus</t>
  </si>
  <si>
    <t>Missile</t>
  </si>
  <si>
    <t>Melee</t>
  </si>
  <si>
    <t>Influence Range</t>
  </si>
  <si>
    <t>Leader</t>
  </si>
  <si>
    <t>PP:</t>
  </si>
  <si>
    <t>Elem. Bonus:</t>
  </si>
  <si>
    <t>Note:</t>
  </si>
  <si>
    <t>TPC</t>
  </si>
  <si>
    <t>Yes/No</t>
  </si>
  <si>
    <t>Yes</t>
  </si>
  <si>
    <t>No</t>
  </si>
  <si>
    <t>Total Point Cost</t>
  </si>
  <si>
    <t>Let's start with size and background…</t>
  </si>
  <si>
    <t>Determine stats…</t>
  </si>
  <si>
    <t>Hand out some weapons…</t>
  </si>
  <si>
    <t>Create a leader…</t>
  </si>
  <si>
    <t xml:space="preserve">Use Unit Card templates to fill out </t>
  </si>
  <si>
    <t>Mod.</t>
  </si>
  <si>
    <t>Def.</t>
  </si>
  <si>
    <t>Att.</t>
  </si>
  <si>
    <t>Determine unit tactics…</t>
  </si>
  <si>
    <t>Select combatants for your unit…</t>
  </si>
  <si>
    <t>1st Order</t>
  </si>
  <si>
    <t>2nd Order</t>
  </si>
  <si>
    <t>3rd Order</t>
  </si>
  <si>
    <t>4th Order</t>
  </si>
  <si>
    <t>5th Order</t>
  </si>
  <si>
    <t>Formation Modification</t>
  </si>
  <si>
    <t>Att</t>
  </si>
  <si>
    <t>Def</t>
  </si>
  <si>
    <t>MoraleRoll</t>
  </si>
  <si>
    <t>Mod</t>
  </si>
  <si>
    <t>MovementRate</t>
  </si>
  <si>
    <t>x1</t>
  </si>
  <si>
    <t>x1/4</t>
  </si>
  <si>
    <t>x0</t>
  </si>
  <si>
    <t>x1/2</t>
  </si>
  <si>
    <t>x3/4</t>
  </si>
  <si>
    <t>Enter Realm and Spells</t>
  </si>
  <si>
    <t>Bladestorm, MX, ICE and Iron Crown Enterprises are trademarks of Aurigas Aldebaron LLC and are used with permission. All rights reserved.</t>
  </si>
  <si>
    <t>Combatant Card</t>
  </si>
  <si>
    <t>Unit Card</t>
  </si>
  <si>
    <t>1st Weapon</t>
  </si>
  <si>
    <t>2nd Weapon</t>
  </si>
  <si>
    <t>3rd Weapon</t>
  </si>
  <si>
    <t>4th Weapon</t>
  </si>
  <si>
    <t xml:space="preserve">5th Weapon </t>
  </si>
  <si>
    <t>6th Weapon</t>
  </si>
  <si>
    <t>Profession</t>
  </si>
  <si>
    <t>Long Sword</t>
  </si>
  <si>
    <t>Range Increment</t>
  </si>
  <si>
    <t>S&amp;T: Rank 1</t>
  </si>
  <si>
    <t>S&amp;T: Rank 2</t>
  </si>
  <si>
    <t>S&amp;T: Rank 3</t>
  </si>
  <si>
    <t>S&amp;T: Rank 4</t>
  </si>
  <si>
    <t>Stks: Rank 1</t>
  </si>
  <si>
    <t>Stks: Rank 2</t>
  </si>
  <si>
    <t>Stks: Rank 3</t>
  </si>
  <si>
    <t>Stks: Rank 4</t>
  </si>
  <si>
    <t>Throwing Axes</t>
  </si>
  <si>
    <t>Throwing Daggers</t>
  </si>
  <si>
    <t>Armored Fist</t>
  </si>
  <si>
    <t>Orc</t>
  </si>
  <si>
    <t>Spiked Mace</t>
  </si>
  <si>
    <t>Trident</t>
  </si>
  <si>
    <t>Gnome</t>
  </si>
  <si>
    <t>Professions</t>
  </si>
  <si>
    <t>RangeInc</t>
  </si>
  <si>
    <t>MovRate</t>
  </si>
  <si>
    <t>Convert Experience Points…</t>
  </si>
  <si>
    <t>Gained Experience</t>
  </si>
  <si>
    <t>OOO M OO</t>
  </si>
  <si>
    <t>Spells/Music</t>
  </si>
  <si>
    <t>Enter Realm and Spells/War Sounds</t>
  </si>
  <si>
    <t>Create a spell user or a musician…</t>
  </si>
  <si>
    <t>Power Point*</t>
  </si>
  <si>
    <t>*Only Spell Users</t>
  </si>
  <si>
    <t>Elem. Spell Bonus*</t>
  </si>
  <si>
    <t>Spells and Sounds</t>
  </si>
  <si>
    <t>Levels 1-2</t>
  </si>
  <si>
    <t>Levels 1-3</t>
  </si>
  <si>
    <t>Levels 1-4</t>
  </si>
  <si>
    <t>Levels 1-5</t>
  </si>
  <si>
    <t>Vehicle Calculator</t>
  </si>
  <si>
    <t>Vehicle Card</t>
  </si>
  <si>
    <t>Material</t>
  </si>
  <si>
    <t>Material Values</t>
  </si>
  <si>
    <t>Wood</t>
  </si>
  <si>
    <t>Iron</t>
  </si>
  <si>
    <t>Steel</t>
  </si>
  <si>
    <t>Stone</t>
  </si>
  <si>
    <t>Tin/Copper</t>
  </si>
  <si>
    <t>Siege Weapon Costs</t>
  </si>
  <si>
    <t>---Edged</t>
  </si>
  <si>
    <t>Swinging Blade</t>
  </si>
  <si>
    <t>Rotating Blade</t>
  </si>
  <si>
    <t>---Concussion</t>
  </si>
  <si>
    <t>Battering Ram</t>
  </si>
  <si>
    <t>Siege Hammer</t>
  </si>
  <si>
    <t>---Missile</t>
  </si>
  <si>
    <t>Catapult</t>
  </si>
  <si>
    <t>Balista</t>
  </si>
  <si>
    <t>Install some weapons…</t>
  </si>
  <si>
    <t>Boost weapon damage…</t>
  </si>
  <si>
    <t>Mov. Rate Mod.:</t>
  </si>
  <si>
    <t>Let's start with size and material…</t>
  </si>
  <si>
    <t>Skills</t>
  </si>
  <si>
    <t>Multiplier</t>
  </si>
  <si>
    <t>Melee Damage Multiplier</t>
  </si>
  <si>
    <t>Missile Damage Multiplier</t>
  </si>
  <si>
    <t>Damage Multiplier</t>
  </si>
  <si>
    <t>Multi</t>
  </si>
  <si>
    <t>---Elemental Grapple</t>
  </si>
  <si>
    <t>Sm. Elem. Grapple</t>
  </si>
  <si>
    <t>Lg. Elem. Grapple</t>
  </si>
  <si>
    <t>Hg. Elem. Grapple</t>
  </si>
  <si>
    <t>Md. Elem. Grapple</t>
  </si>
  <si>
    <t>Elem. Bonus</t>
  </si>
  <si>
    <t>---Breath Weapon</t>
  </si>
  <si>
    <t>Sm. Elem. Cone</t>
  </si>
  <si>
    <t>Md. Elem. Cone</t>
  </si>
  <si>
    <t>Lg. Elem. Cone</t>
  </si>
  <si>
    <t>Hg. Elem. Cone</t>
  </si>
  <si>
    <t>Sm. Elem. Bolt</t>
  </si>
  <si>
    <t>Md. Elem. Bolt</t>
  </si>
  <si>
    <t>Lg. Elem. Bolt</t>
  </si>
  <si>
    <t>Hg. Elem. Bolt</t>
  </si>
  <si>
    <t>2 Handed Scimitar</t>
  </si>
  <si>
    <t>Thrown Hammer</t>
  </si>
  <si>
    <t>Spiked Club</t>
  </si>
  <si>
    <t>Blade Fingers</t>
  </si>
  <si>
    <t>Spiked Elbow/Knee</t>
  </si>
  <si>
    <t>Dart Thrower</t>
  </si>
  <si>
    <t>Unnatural/Artificial</t>
  </si>
  <si>
    <t>Unit Total</t>
  </si>
  <si>
    <t>Assassin (B2E)</t>
  </si>
  <si>
    <t>Arms Master (B2E)</t>
  </si>
  <si>
    <t>Barbarian (B2E)</t>
  </si>
  <si>
    <t>Cleric (B2E)</t>
  </si>
  <si>
    <t>Druid (B2E)</t>
  </si>
  <si>
    <t>Fighter (B2E)</t>
  </si>
  <si>
    <t>Illusionist (B2E)</t>
  </si>
  <si>
    <t>Lay Healer (B2E)</t>
  </si>
  <si>
    <t>Magician (B2E)</t>
  </si>
  <si>
    <t>Mentalist (B2E)</t>
  </si>
  <si>
    <t>Paladin (B2E)</t>
  </si>
  <si>
    <t>Ranger (B2E)</t>
  </si>
  <si>
    <t>Rogue (B2E)</t>
  </si>
  <si>
    <t>Warrior Monk (B2E)</t>
  </si>
  <si>
    <t>Boost fighting stats…</t>
  </si>
  <si>
    <t>Determine general stats…</t>
  </si>
  <si>
    <t>Gark/Kral</t>
  </si>
  <si>
    <t>Scythe</t>
  </si>
  <si>
    <t>… to Development 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</si>
</sst>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+0;\-0"/>
    <numFmt numFmtId="165" formatCode="0.0"/>
  </numFmts>
  <fonts count="2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mbria"/>
      <family val="1"/>
      <scheme val="maj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11"/>
      <color theme="1"/>
      <name val="Cambria"/>
      <family val="1"/>
      <scheme val="major"/>
    </font>
    <font>
      <b/>
      <sz val="18"/>
      <color theme="1"/>
      <name val="Cambria"/>
      <family val="1"/>
      <scheme val="major"/>
    </font>
    <font>
      <i/>
      <sz val="11"/>
      <color theme="1"/>
      <name val="Cambria"/>
      <family val="1"/>
      <scheme val="major"/>
    </font>
    <font>
      <sz val="11"/>
      <name val="Calibri"/>
      <family val="2"/>
      <scheme val="minor"/>
    </font>
    <font>
      <b/>
      <i/>
      <sz val="11"/>
      <color theme="1"/>
      <name val="Cambria"/>
      <family val="1"/>
      <scheme val="maj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5D6A9"/>
        <bgColor indexed="64"/>
      </patternFill>
    </fill>
    <fill>
      <patternFill patternType="solid">
        <fgColor rgb="FFFF9F9F"/>
        <bgColor indexed="64"/>
      </patternFill>
    </fill>
    <fill>
      <patternFill patternType="solid">
        <fgColor rgb="FFDBA454"/>
        <bgColor indexed="64"/>
      </patternFill>
    </fill>
    <fill>
      <patternFill patternType="solid">
        <fgColor rgb="FFF3E0C6"/>
        <bgColor indexed="64"/>
      </patternFill>
    </fill>
    <fill>
      <patternFill patternType="solid">
        <fgColor rgb="FFE7C28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41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5" xfId="0" applyBorder="1" applyAlignment="1"/>
    <xf numFmtId="0" fontId="0" fillId="0" borderId="4" xfId="0" applyFill="1" applyBorder="1"/>
    <xf numFmtId="0" fontId="0" fillId="0" borderId="5" xfId="0" applyFill="1" applyBorder="1"/>
    <xf numFmtId="0" fontId="0" fillId="0" borderId="0" xfId="0" applyFont="1"/>
    <xf numFmtId="0" fontId="0" fillId="0" borderId="2" xfId="0" applyBorder="1"/>
    <xf numFmtId="0" fontId="0" fillId="0" borderId="0" xfId="0" applyAlignment="1">
      <alignment horizontal="right"/>
    </xf>
    <xf numFmtId="0" fontId="0" fillId="0" borderId="0" xfId="0" applyNumberFormat="1"/>
    <xf numFmtId="164" fontId="0" fillId="0" borderId="0" xfId="0" applyNumberFormat="1"/>
    <xf numFmtId="0" fontId="0" fillId="0" borderId="7" xfId="0" applyBorder="1"/>
    <xf numFmtId="0" fontId="0" fillId="0" borderId="8" xfId="0" applyBorder="1"/>
    <xf numFmtId="164" fontId="0" fillId="0" borderId="4" xfId="0" applyNumberFormat="1" applyBorder="1"/>
    <xf numFmtId="164" fontId="0" fillId="0" borderId="6" xfId="0" applyNumberFormat="1" applyBorder="1"/>
    <xf numFmtId="0" fontId="0" fillId="0" borderId="0" xfId="0" applyNumberFormat="1" applyBorder="1"/>
    <xf numFmtId="0" fontId="0" fillId="0" borderId="4" xfId="0" applyNumberFormat="1" applyBorder="1"/>
    <xf numFmtId="0" fontId="0" fillId="0" borderId="0" xfId="0" applyBorder="1" applyAlignment="1"/>
    <xf numFmtId="0" fontId="0" fillId="0" borderId="4" xfId="0" applyBorder="1" applyAlignment="1"/>
    <xf numFmtId="164" fontId="0" fillId="0" borderId="0" xfId="0" applyNumberFormat="1" applyBorder="1"/>
    <xf numFmtId="0" fontId="0" fillId="0" borderId="0" xfId="0" quotePrefix="1" applyBorder="1"/>
    <xf numFmtId="0" fontId="0" fillId="0" borderId="7" xfId="0" quotePrefix="1" applyBorder="1"/>
    <xf numFmtId="0" fontId="0" fillId="0" borderId="4" xfId="0" quotePrefix="1" applyBorder="1"/>
    <xf numFmtId="0" fontId="0" fillId="0" borderId="6" xfId="0" quotePrefix="1" applyBorder="1"/>
    <xf numFmtId="0" fontId="0" fillId="0" borderId="0" xfId="0" applyBorder="1" applyAlignment="1">
      <alignment horizontal="right"/>
    </xf>
    <xf numFmtId="164" fontId="0" fillId="0" borderId="5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0" fontId="5" fillId="0" borderId="1" xfId="0" applyFont="1" applyBorder="1"/>
    <xf numFmtId="0" fontId="2" fillId="0" borderId="0" xfId="0" quotePrefix="1" applyFont="1"/>
    <xf numFmtId="0" fontId="5" fillId="0" borderId="4" xfId="0" applyFont="1" applyBorder="1"/>
    <xf numFmtId="0" fontId="1" fillId="0" borderId="0" xfId="0" applyFont="1"/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Fill="1" applyBorder="1"/>
    <xf numFmtId="0" fontId="0" fillId="0" borderId="6" xfId="0" applyFill="1" applyBorder="1"/>
    <xf numFmtId="164" fontId="0" fillId="0" borderId="4" xfId="0" applyNumberFormat="1" applyFill="1" applyBorder="1"/>
    <xf numFmtId="164" fontId="0" fillId="0" borderId="6" xfId="0" applyNumberFormat="1" applyFill="1" applyBorder="1"/>
    <xf numFmtId="0" fontId="5" fillId="0" borderId="9" xfId="0" applyFont="1" applyBorder="1"/>
    <xf numFmtId="164" fontId="0" fillId="0" borderId="10" xfId="0" applyNumberFormat="1" applyBorder="1"/>
    <xf numFmtId="0" fontId="0" fillId="0" borderId="11" xfId="0" applyBorder="1"/>
    <xf numFmtId="0" fontId="2" fillId="0" borderId="0" xfId="0" applyFont="1"/>
    <xf numFmtId="0" fontId="0" fillId="2" borderId="0" xfId="0" applyFill="1"/>
    <xf numFmtId="0" fontId="0" fillId="3" borderId="0" xfId="0" applyFill="1"/>
    <xf numFmtId="0" fontId="2" fillId="2" borderId="0" xfId="0" applyFont="1" applyFill="1"/>
    <xf numFmtId="0" fontId="2" fillId="3" borderId="0" xfId="0" applyFont="1" applyFill="1"/>
    <xf numFmtId="0" fontId="0" fillId="4" borderId="0" xfId="0" applyFill="1"/>
    <xf numFmtId="9" fontId="0" fillId="4" borderId="0" xfId="0" applyNumberFormat="1" applyFill="1"/>
    <xf numFmtId="165" fontId="0" fillId="4" borderId="0" xfId="0" applyNumberFormat="1" applyFill="1"/>
    <xf numFmtId="1" fontId="0" fillId="4" borderId="0" xfId="0" applyNumberFormat="1" applyFill="1"/>
    <xf numFmtId="0" fontId="0" fillId="5" borderId="0" xfId="0" applyFill="1"/>
    <xf numFmtId="9" fontId="0" fillId="5" borderId="0" xfId="0" applyNumberFormat="1" applyFill="1"/>
    <xf numFmtId="0" fontId="0" fillId="6" borderId="0" xfId="0" applyFill="1" applyBorder="1"/>
    <xf numFmtId="0" fontId="1" fillId="0" borderId="4" xfId="0" applyFont="1" applyBorder="1"/>
    <xf numFmtId="0" fontId="0" fillId="0" borderId="0" xfId="0" applyFill="1" applyBorder="1"/>
    <xf numFmtId="0" fontId="0" fillId="0" borderId="6" xfId="0" quotePrefix="1" applyBorder="1" applyAlignment="1">
      <alignment horizontal="right"/>
    </xf>
    <xf numFmtId="0" fontId="0" fillId="6" borderId="15" xfId="0" applyFill="1" applyBorder="1"/>
    <xf numFmtId="0" fontId="0" fillId="6" borderId="16" xfId="0" applyFill="1" applyBorder="1"/>
    <xf numFmtId="0" fontId="0" fillId="6" borderId="17" xfId="0" applyFill="1" applyBorder="1"/>
    <xf numFmtId="0" fontId="0" fillId="6" borderId="18" xfId="0" applyFill="1" applyBorder="1"/>
    <xf numFmtId="0" fontId="0" fillId="6" borderId="19" xfId="0" applyFill="1" applyBorder="1"/>
    <xf numFmtId="0" fontId="0" fillId="7" borderId="3" xfId="0" applyFill="1" applyBorder="1"/>
    <xf numFmtId="0" fontId="11" fillId="6" borderId="15" xfId="0" applyFont="1" applyFill="1" applyBorder="1" applyAlignment="1"/>
    <xf numFmtId="0" fontId="0" fillId="6" borderId="0" xfId="0" applyFont="1" applyFill="1" applyBorder="1"/>
    <xf numFmtId="0" fontId="0" fillId="6" borderId="16" xfId="0" applyFont="1" applyFill="1" applyBorder="1"/>
    <xf numFmtId="0" fontId="0" fillId="9" borderId="16" xfId="0" applyFont="1" applyFill="1" applyBorder="1"/>
    <xf numFmtId="0" fontId="11" fillId="6" borderId="12" xfId="0" applyFont="1" applyFill="1" applyBorder="1" applyAlignment="1"/>
    <xf numFmtId="0" fontId="0" fillId="6" borderId="13" xfId="0" applyFont="1" applyFill="1" applyBorder="1"/>
    <xf numFmtId="0" fontId="0" fillId="6" borderId="14" xfId="0" applyFont="1" applyFill="1" applyBorder="1"/>
    <xf numFmtId="0" fontId="12" fillId="11" borderId="1" xfId="0" applyFont="1" applyFill="1" applyBorder="1" applyAlignment="1"/>
    <xf numFmtId="0" fontId="0" fillId="11" borderId="0" xfId="0" applyFill="1"/>
    <xf numFmtId="0" fontId="11" fillId="11" borderId="0" xfId="0" applyFont="1" applyFill="1" applyBorder="1" applyAlignment="1"/>
    <xf numFmtId="0" fontId="0" fillId="11" borderId="0" xfId="0" applyFont="1" applyFill="1"/>
    <xf numFmtId="0" fontId="2" fillId="11" borderId="7" xfId="0" applyFont="1" applyFill="1" applyBorder="1"/>
    <xf numFmtId="0" fontId="2" fillId="11" borderId="7" xfId="0" applyFont="1" applyFill="1" applyBorder="1" applyAlignment="1">
      <alignment horizontal="right"/>
    </xf>
    <xf numFmtId="0" fontId="13" fillId="11" borderId="0" xfId="0" applyFont="1" applyFill="1" applyBorder="1" applyAlignment="1"/>
    <xf numFmtId="0" fontId="0" fillId="11" borderId="0" xfId="0" applyFill="1" applyAlignment="1">
      <alignment horizontal="right"/>
    </xf>
    <xf numFmtId="0" fontId="2" fillId="11" borderId="0" xfId="0" applyFont="1" applyFill="1" applyBorder="1"/>
    <xf numFmtId="0" fontId="0" fillId="11" borderId="0" xfId="0" applyFill="1" applyAlignment="1"/>
    <xf numFmtId="0" fontId="0" fillId="11" borderId="0" xfId="0" applyFill="1" applyAlignment="1">
      <alignment horizontal="left"/>
    </xf>
    <xf numFmtId="0" fontId="2" fillId="11" borderId="0" xfId="0" applyFont="1" applyFill="1" applyBorder="1" applyAlignment="1">
      <alignment horizontal="right"/>
    </xf>
    <xf numFmtId="0" fontId="0" fillId="9" borderId="16" xfId="0" applyFont="1" applyFill="1" applyBorder="1" applyAlignment="1">
      <alignment horizontal="center"/>
    </xf>
    <xf numFmtId="0" fontId="0" fillId="10" borderId="0" xfId="0" applyFont="1" applyFill="1" applyBorder="1" applyAlignment="1">
      <alignment horizontal="center"/>
    </xf>
    <xf numFmtId="0" fontId="1" fillId="11" borderId="0" xfId="0" applyFont="1" applyFill="1" applyAlignment="1">
      <alignment horizontal="left"/>
    </xf>
    <xf numFmtId="0" fontId="2" fillId="10" borderId="0" xfId="0" applyFont="1" applyFill="1" applyBorder="1"/>
    <xf numFmtId="164" fontId="0" fillId="10" borderId="0" xfId="0" applyNumberFormat="1" applyFont="1" applyFill="1" applyBorder="1" applyAlignment="1">
      <alignment horizontal="center"/>
    </xf>
    <xf numFmtId="0" fontId="2" fillId="9" borderId="0" xfId="0" applyFont="1" applyFill="1" applyBorder="1"/>
    <xf numFmtId="0" fontId="0" fillId="10" borderId="16" xfId="0" applyFont="1" applyFill="1" applyBorder="1" applyAlignment="1">
      <alignment horizontal="center"/>
    </xf>
    <xf numFmtId="0" fontId="15" fillId="11" borderId="0" xfId="0" applyFont="1" applyFill="1" applyBorder="1" applyAlignment="1"/>
    <xf numFmtId="0" fontId="16" fillId="11" borderId="0" xfId="0" applyFont="1" applyFill="1" applyBorder="1"/>
    <xf numFmtId="0" fontId="11" fillId="6" borderId="0" xfId="0" applyFont="1" applyFill="1" applyBorder="1" applyAlignment="1"/>
    <xf numFmtId="0" fontId="2" fillId="8" borderId="0" xfId="0" applyFont="1" applyFill="1" applyBorder="1"/>
    <xf numFmtId="0" fontId="2" fillId="8" borderId="16" xfId="0" applyFont="1" applyFill="1" applyBorder="1"/>
    <xf numFmtId="0" fontId="16" fillId="11" borderId="0" xfId="0" applyFont="1" applyFill="1"/>
    <xf numFmtId="0" fontId="0" fillId="9" borderId="15" xfId="0" applyFont="1" applyFill="1" applyBorder="1" applyAlignment="1"/>
    <xf numFmtId="0" fontId="0" fillId="11" borderId="0" xfId="0" applyFill="1"/>
    <xf numFmtId="0" fontId="0" fillId="0" borderId="0" xfId="0"/>
    <xf numFmtId="0" fontId="0" fillId="9" borderId="0" xfId="0" applyFont="1" applyFill="1" applyBorder="1" applyAlignment="1">
      <alignment horizontal="left"/>
    </xf>
    <xf numFmtId="0" fontId="0" fillId="9" borderId="0" xfId="0" applyFont="1" applyFill="1" applyBorder="1"/>
    <xf numFmtId="0" fontId="2" fillId="8" borderId="0" xfId="0" applyFont="1" applyFill="1" applyBorder="1" applyAlignment="1">
      <alignment horizontal="left"/>
    </xf>
    <xf numFmtId="0" fontId="3" fillId="11" borderId="0" xfId="0" applyFont="1" applyFill="1" applyBorder="1" applyAlignment="1"/>
    <xf numFmtId="164" fontId="0" fillId="9" borderId="0" xfId="0" applyNumberFormat="1" applyFont="1" applyFill="1" applyBorder="1" applyAlignment="1">
      <alignment horizontal="left"/>
    </xf>
    <xf numFmtId="0" fontId="8" fillId="9" borderId="0" xfId="0" applyFont="1" applyFill="1" applyBorder="1"/>
    <xf numFmtId="0" fontId="0" fillId="9" borderId="0" xfId="0" applyFill="1" applyBorder="1"/>
    <xf numFmtId="164" fontId="8" fillId="9" borderId="0" xfId="0" applyNumberFormat="1" applyFont="1" applyFill="1" applyBorder="1" applyAlignment="1">
      <alignment horizontal="right"/>
    </xf>
    <xf numFmtId="164" fontId="8" fillId="9" borderId="0" xfId="0" applyNumberFormat="1" applyFont="1" applyFill="1" applyBorder="1"/>
    <xf numFmtId="0" fontId="0" fillId="10" borderId="15" xfId="0" applyFill="1" applyBorder="1"/>
    <xf numFmtId="0" fontId="0" fillId="10" borderId="0" xfId="0" applyFill="1" applyBorder="1"/>
    <xf numFmtId="0" fontId="0" fillId="10" borderId="16" xfId="0" applyFill="1" applyBorder="1"/>
    <xf numFmtId="0" fontId="2" fillId="8" borderId="15" xfId="0" applyFont="1" applyFill="1" applyBorder="1" applyAlignment="1"/>
    <xf numFmtId="0" fontId="2" fillId="9" borderId="15" xfId="0" applyFont="1" applyFill="1" applyBorder="1" applyAlignment="1"/>
    <xf numFmtId="0" fontId="2" fillId="10" borderId="15" xfId="0" applyFont="1" applyFill="1" applyBorder="1" applyAlignment="1"/>
    <xf numFmtId="0" fontId="11" fillId="6" borderId="0" xfId="0" applyFont="1" applyFill="1" applyBorder="1" applyAlignment="1">
      <alignment vertical="top"/>
    </xf>
    <xf numFmtId="0" fontId="16" fillId="11" borderId="0" xfId="0" applyFont="1" applyFill="1" applyAlignment="1">
      <alignment horizontal="left"/>
    </xf>
    <xf numFmtId="164" fontId="14" fillId="10" borderId="0" xfId="0" applyNumberFormat="1" applyFont="1" applyFill="1" applyBorder="1" applyAlignment="1">
      <alignment horizontal="left"/>
    </xf>
    <xf numFmtId="0" fontId="0" fillId="9" borderId="0" xfId="0" applyFont="1" applyFill="1" applyBorder="1" applyAlignment="1">
      <alignment horizontal="center"/>
    </xf>
    <xf numFmtId="164" fontId="0" fillId="10" borderId="0" xfId="0" applyNumberFormat="1" applyFill="1" applyBorder="1"/>
    <xf numFmtId="164" fontId="0" fillId="10" borderId="0" xfId="0" applyNumberFormat="1" applyFill="1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2" fillId="6" borderId="0" xfId="0" applyFont="1" applyFill="1" applyBorder="1"/>
    <xf numFmtId="0" fontId="0" fillId="6" borderId="0" xfId="0" applyFont="1" applyFill="1" applyBorder="1" applyAlignment="1">
      <alignment horizontal="center"/>
    </xf>
    <xf numFmtId="0" fontId="0" fillId="9" borderId="0" xfId="0" applyFont="1" applyFill="1" applyBorder="1" applyAlignment="1">
      <alignment horizontal="center"/>
    </xf>
    <xf numFmtId="0" fontId="0" fillId="8" borderId="0" xfId="0" applyFill="1" applyBorder="1"/>
    <xf numFmtId="0" fontId="0" fillId="8" borderId="0" xfId="0" applyFill="1" applyBorder="1" applyAlignment="1">
      <alignment horizontal="right"/>
    </xf>
    <xf numFmtId="164" fontId="0" fillId="8" borderId="0" xfId="0" applyNumberFormat="1" applyFill="1" applyBorder="1"/>
    <xf numFmtId="0" fontId="0" fillId="8" borderId="0" xfId="0" applyFill="1" applyBorder="1" applyAlignment="1">
      <alignment horizontal="center"/>
    </xf>
    <xf numFmtId="164" fontId="0" fillId="9" borderId="0" xfId="0" applyNumberFormat="1" applyFill="1" applyBorder="1"/>
    <xf numFmtId="0" fontId="2" fillId="8" borderId="16" xfId="0" applyFont="1" applyFill="1" applyBorder="1" applyAlignment="1">
      <alignment horizontal="center"/>
    </xf>
    <xf numFmtId="0" fontId="0" fillId="8" borderId="0" xfId="0" applyFill="1" applyBorder="1" applyAlignment="1">
      <alignment horizontal="left"/>
    </xf>
    <xf numFmtId="0" fontId="2" fillId="8" borderId="15" xfId="0" applyFont="1" applyFill="1" applyBorder="1"/>
    <xf numFmtId="0" fontId="0" fillId="10" borderId="15" xfId="0" applyFill="1" applyBorder="1" applyAlignment="1"/>
    <xf numFmtId="0" fontId="0" fillId="10" borderId="0" xfId="0" applyFill="1" applyBorder="1" applyAlignment="1"/>
    <xf numFmtId="0" fontId="0" fillId="10" borderId="0" xfId="0" applyFill="1" applyBorder="1" applyAlignment="1">
      <alignment horizontal="left"/>
    </xf>
    <xf numFmtId="0" fontId="0" fillId="9" borderId="15" xfId="0" applyFill="1" applyBorder="1"/>
    <xf numFmtId="0" fontId="0" fillId="9" borderId="16" xfId="0" applyFill="1" applyBorder="1"/>
    <xf numFmtId="0" fontId="11" fillId="6" borderId="16" xfId="0" applyFont="1" applyFill="1" applyBorder="1" applyAlignment="1"/>
    <xf numFmtId="0" fontId="17" fillId="9" borderId="15" xfId="0" applyFont="1" applyFill="1" applyBorder="1"/>
    <xf numFmtId="0" fontId="8" fillId="9" borderId="15" xfId="0" applyFont="1" applyFill="1" applyBorder="1"/>
    <xf numFmtId="164" fontId="0" fillId="9" borderId="0" xfId="0" applyNumberFormat="1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2" fillId="6" borderId="15" xfId="0" applyFont="1" applyFill="1" applyBorder="1"/>
    <xf numFmtId="0" fontId="14" fillId="9" borderId="15" xfId="0" applyFont="1" applyFill="1" applyBorder="1"/>
    <xf numFmtId="0" fontId="14" fillId="10" borderId="15" xfId="0" applyFont="1" applyFill="1" applyBorder="1"/>
    <xf numFmtId="164" fontId="2" fillId="8" borderId="0" xfId="0" applyNumberFormat="1" applyFont="1" applyFill="1" applyBorder="1" applyAlignment="1">
      <alignment horizontal="left"/>
    </xf>
    <xf numFmtId="0" fontId="0" fillId="9" borderId="16" xfId="0" applyFill="1" applyBorder="1" applyAlignment="1">
      <alignment horizontal="center"/>
    </xf>
    <xf numFmtId="0" fontId="0" fillId="11" borderId="7" xfId="0" applyFill="1" applyBorder="1"/>
    <xf numFmtId="0" fontId="0" fillId="11" borderId="21" xfId="0" applyFill="1" applyBorder="1"/>
    <xf numFmtId="0" fontId="2" fillId="11" borderId="21" xfId="0" applyFont="1" applyFill="1" applyBorder="1" applyAlignment="1">
      <alignment horizontal="right"/>
    </xf>
    <xf numFmtId="0" fontId="2" fillId="11" borderId="21" xfId="0" applyFont="1" applyFill="1" applyBorder="1"/>
    <xf numFmtId="0" fontId="2" fillId="0" borderId="9" xfId="0" applyFont="1" applyBorder="1"/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11" borderId="0" xfId="0" applyFill="1" applyBorder="1"/>
    <xf numFmtId="0" fontId="0" fillId="11" borderId="2" xfId="0" applyFill="1" applyBorder="1"/>
    <xf numFmtId="0" fontId="18" fillId="11" borderId="0" xfId="0" applyFont="1" applyFill="1" applyAlignment="1">
      <alignment horizontal="right"/>
    </xf>
    <xf numFmtId="1" fontId="2" fillId="11" borderId="21" xfId="0" applyNumberFormat="1" applyFont="1" applyFill="1" applyBorder="1"/>
    <xf numFmtId="1" fontId="0" fillId="11" borderId="0" xfId="0" applyNumberFormat="1" applyFill="1"/>
    <xf numFmtId="164" fontId="0" fillId="10" borderId="0" xfId="0" applyNumberFormat="1" applyFill="1" applyBorder="1" applyAlignment="1">
      <alignment horizontal="left"/>
    </xf>
    <xf numFmtId="1" fontId="0" fillId="9" borderId="16" xfId="0" applyNumberFormat="1" applyFill="1" applyBorder="1" applyAlignment="1">
      <alignment horizontal="center"/>
    </xf>
    <xf numFmtId="0" fontId="3" fillId="13" borderId="1" xfId="0" applyFont="1" applyFill="1" applyBorder="1" applyAlignment="1"/>
    <xf numFmtId="0" fontId="0" fillId="13" borderId="0" xfId="0" applyFill="1"/>
    <xf numFmtId="0" fontId="2" fillId="13" borderId="7" xfId="0" applyFont="1" applyFill="1" applyBorder="1"/>
    <xf numFmtId="0" fontId="2" fillId="13" borderId="7" xfId="0" applyFont="1" applyFill="1" applyBorder="1" applyAlignment="1">
      <alignment horizontal="center"/>
    </xf>
    <xf numFmtId="0" fontId="0" fillId="13" borderId="0" xfId="0" applyFill="1" applyAlignment="1">
      <alignment horizontal="center"/>
    </xf>
    <xf numFmtId="0" fontId="6" fillId="13" borderId="0" xfId="0" applyFont="1" applyFill="1" applyBorder="1" applyAlignment="1">
      <alignment horizontal="center"/>
    </xf>
    <xf numFmtId="0" fontId="7" fillId="13" borderId="0" xfId="0" applyFont="1" applyFill="1" applyBorder="1" applyAlignment="1">
      <alignment horizontal="center"/>
    </xf>
    <xf numFmtId="0" fontId="0" fillId="13" borderId="0" xfId="0" applyFill="1" applyAlignment="1">
      <alignment horizontal="right" wrapText="1"/>
    </xf>
    <xf numFmtId="0" fontId="1" fillId="9" borderId="0" xfId="0" applyFont="1" applyFill="1" applyBorder="1" applyAlignment="1">
      <alignment horizontal="left"/>
    </xf>
    <xf numFmtId="0" fontId="17" fillId="9" borderId="0" xfId="0" applyFont="1" applyFill="1" applyBorder="1" applyAlignment="1">
      <alignment horizontal="left"/>
    </xf>
    <xf numFmtId="0" fontId="0" fillId="9" borderId="0" xfId="0" applyFill="1" applyBorder="1" applyAlignment="1">
      <alignment horizontal="left"/>
    </xf>
    <xf numFmtId="164" fontId="1" fillId="9" borderId="0" xfId="0" applyNumberFormat="1" applyFont="1" applyFill="1" applyBorder="1" applyAlignment="1">
      <alignment horizontal="left"/>
    </xf>
    <xf numFmtId="0" fontId="2" fillId="13" borderId="0" xfId="0" applyFont="1" applyFill="1"/>
    <xf numFmtId="0" fontId="2" fillId="13" borderId="7" xfId="0" applyFont="1" applyFill="1" applyBorder="1" applyAlignment="1">
      <alignment horizontal="right"/>
    </xf>
    <xf numFmtId="0" fontId="15" fillId="13" borderId="7" xfId="0" applyFont="1" applyFill="1" applyBorder="1"/>
    <xf numFmtId="0" fontId="0" fillId="13" borderId="7" xfId="0" applyFill="1" applyBorder="1"/>
    <xf numFmtId="0" fontId="1" fillId="13" borderId="0" xfId="0" applyFont="1" applyFill="1" applyAlignment="1">
      <alignment horizontal="left"/>
    </xf>
    <xf numFmtId="0" fontId="1" fillId="13" borderId="0" xfId="0" applyFont="1" applyFill="1"/>
    <xf numFmtId="0" fontId="0" fillId="13" borderId="0" xfId="0" applyFill="1" applyBorder="1"/>
    <xf numFmtId="0" fontId="2" fillId="0" borderId="1" xfId="0" applyFont="1" applyBorder="1"/>
    <xf numFmtId="164" fontId="14" fillId="9" borderId="0" xfId="0" applyNumberFormat="1" applyFont="1" applyFill="1" applyBorder="1" applyAlignment="1">
      <alignment horizontal="left"/>
    </xf>
    <xf numFmtId="164" fontId="0" fillId="8" borderId="0" xfId="0" applyNumberFormat="1" applyFill="1" applyBorder="1" applyAlignment="1">
      <alignment horizontal="left"/>
    </xf>
    <xf numFmtId="0" fontId="19" fillId="11" borderId="0" xfId="0" applyFont="1" applyFill="1"/>
    <xf numFmtId="1" fontId="19" fillId="11" borderId="0" xfId="0" applyNumberFormat="1" applyFont="1" applyFill="1"/>
    <xf numFmtId="0" fontId="19" fillId="11" borderId="0" xfId="0" applyFont="1" applyFill="1" applyAlignment="1">
      <alignment horizontal="right"/>
    </xf>
    <xf numFmtId="164" fontId="19" fillId="11" borderId="0" xfId="0" applyNumberFormat="1" applyFont="1" applyFill="1"/>
    <xf numFmtId="0" fontId="19" fillId="11" borderId="0" xfId="0" applyNumberFormat="1" applyFont="1" applyFill="1"/>
    <xf numFmtId="0" fontId="20" fillId="11" borderId="7" xfId="0" applyFont="1" applyFill="1" applyBorder="1" applyAlignment="1">
      <alignment horizontal="right"/>
    </xf>
    <xf numFmtId="0" fontId="0" fillId="0" borderId="0" xfId="0" applyNumberFormat="1" applyFill="1" applyBorder="1"/>
    <xf numFmtId="0" fontId="0" fillId="0" borderId="0" xfId="0" applyFill="1" applyBorder="1" applyAlignment="1"/>
    <xf numFmtId="0" fontId="0" fillId="0" borderId="4" xfId="0" applyFill="1" applyBorder="1" applyAlignment="1"/>
    <xf numFmtId="0" fontId="0" fillId="0" borderId="5" xfId="0" applyFill="1" applyBorder="1" applyAlignment="1"/>
    <xf numFmtId="0" fontId="16" fillId="11" borderId="0" xfId="0" applyFont="1" applyFill="1" applyBorder="1" applyAlignment="1">
      <alignment horizontal="left"/>
    </xf>
    <xf numFmtId="0" fontId="1" fillId="11" borderId="0" xfId="0" applyFont="1" applyFill="1"/>
    <xf numFmtId="0" fontId="0" fillId="12" borderId="20" xfId="0" applyFill="1" applyBorder="1" applyAlignment="1" applyProtection="1">
      <alignment horizontal="right"/>
      <protection locked="0"/>
    </xf>
    <xf numFmtId="164" fontId="0" fillId="12" borderId="20" xfId="0" applyNumberFormat="1" applyFill="1" applyBorder="1" applyProtection="1">
      <protection locked="0"/>
    </xf>
    <xf numFmtId="164" fontId="0" fillId="12" borderId="20" xfId="0" applyNumberFormat="1" applyFill="1" applyBorder="1" applyAlignment="1" applyProtection="1">
      <alignment horizontal="right"/>
      <protection locked="0"/>
    </xf>
    <xf numFmtId="0" fontId="0" fillId="12" borderId="20" xfId="0" applyFill="1" applyBorder="1" applyProtection="1">
      <protection locked="0"/>
    </xf>
    <xf numFmtId="0" fontId="0" fillId="9" borderId="15" xfId="0" applyFill="1" applyBorder="1" applyProtection="1">
      <protection locked="0"/>
    </xf>
    <xf numFmtId="0" fontId="0" fillId="9" borderId="0" xfId="0" applyFont="1" applyFill="1" applyBorder="1" applyAlignment="1">
      <alignment horizontal="left"/>
    </xf>
    <xf numFmtId="0" fontId="0" fillId="9" borderId="0" xfId="0" applyFont="1" applyFill="1" applyBorder="1" applyAlignment="1"/>
    <xf numFmtId="0" fontId="2" fillId="9" borderId="0" xfId="0" applyFont="1" applyFill="1" applyBorder="1" applyAlignment="1"/>
    <xf numFmtId="164" fontId="0" fillId="9" borderId="0" xfId="0" applyNumberFormat="1" applyFont="1" applyFill="1" applyBorder="1" applyAlignment="1">
      <alignment horizontal="center"/>
    </xf>
    <xf numFmtId="164" fontId="0" fillId="10" borderId="0" xfId="0" applyNumberFormat="1" applyFont="1" applyFill="1" applyBorder="1" applyAlignment="1">
      <alignment horizontal="center"/>
    </xf>
    <xf numFmtId="0" fontId="0" fillId="9" borderId="0" xfId="0" applyFont="1" applyFill="1" applyBorder="1" applyAlignment="1">
      <alignment horizontal="left"/>
    </xf>
    <xf numFmtId="0" fontId="0" fillId="13" borderId="0" xfId="0" applyFill="1" applyAlignment="1">
      <alignment horizontal="right"/>
    </xf>
    <xf numFmtId="0" fontId="0" fillId="9" borderId="0" xfId="0" applyFont="1" applyFill="1" applyBorder="1" applyAlignment="1">
      <alignment horizontal="left"/>
    </xf>
    <xf numFmtId="0" fontId="0" fillId="9" borderId="0" xfId="0" applyFont="1" applyFill="1" applyBorder="1" applyAlignment="1">
      <alignment horizontal="left"/>
    </xf>
    <xf numFmtId="164" fontId="0" fillId="0" borderId="4" xfId="0" applyNumberFormat="1" applyBorder="1" applyAlignment="1">
      <alignment horizontal="right"/>
    </xf>
    <xf numFmtId="0" fontId="0" fillId="0" borderId="4" xfId="0" applyBorder="1" applyAlignment="1">
      <alignment horizontal="right"/>
    </xf>
    <xf numFmtId="0" fontId="19" fillId="11" borderId="0" xfId="0" applyFont="1" applyFill="1" applyBorder="1" applyAlignment="1">
      <alignment horizontal="right"/>
    </xf>
    <xf numFmtId="0" fontId="2" fillId="13" borderId="0" xfId="0" applyFont="1" applyFill="1" applyBorder="1" applyAlignment="1">
      <alignment horizontal="right"/>
    </xf>
    <xf numFmtId="1" fontId="2" fillId="13" borderId="0" xfId="0" applyNumberFormat="1" applyFont="1" applyFill="1" applyBorder="1"/>
    <xf numFmtId="0" fontId="0" fillId="13" borderId="21" xfId="0" applyFont="1" applyFill="1" applyBorder="1" applyAlignment="1">
      <alignment horizontal="right"/>
    </xf>
    <xf numFmtId="1" fontId="0" fillId="13" borderId="21" xfId="0" applyNumberFormat="1" applyFont="1" applyFill="1" applyBorder="1" applyAlignment="1">
      <alignment horizontal="right" wrapText="1"/>
    </xf>
    <xf numFmtId="0" fontId="0" fillId="0" borderId="7" xfId="0" applyNumberFormat="1" applyBorder="1"/>
    <xf numFmtId="164" fontId="0" fillId="0" borderId="0" xfId="0" applyNumberFormat="1" applyFill="1" applyBorder="1"/>
    <xf numFmtId="164" fontId="0" fillId="0" borderId="5" xfId="0" applyNumberFormat="1" applyFill="1" applyBorder="1"/>
    <xf numFmtId="0" fontId="0" fillId="0" borderId="10" xfId="0" applyBorder="1"/>
    <xf numFmtId="0" fontId="0" fillId="0" borderId="10" xfId="0" applyFill="1" applyBorder="1"/>
    <xf numFmtId="0" fontId="0" fillId="0" borderId="11" xfId="0" applyFill="1" applyBorder="1"/>
    <xf numFmtId="0" fontId="4" fillId="13" borderId="0" xfId="0" applyFont="1" applyFill="1" applyProtection="1">
      <protection locked="0"/>
    </xf>
    <xf numFmtId="0" fontId="0" fillId="12" borderId="20" xfId="0" applyFont="1" applyFill="1" applyBorder="1" applyAlignment="1" applyProtection="1">
      <alignment horizontal="right"/>
      <protection locked="0"/>
    </xf>
    <xf numFmtId="0" fontId="17" fillId="9" borderId="0" xfId="0" applyFont="1" applyFill="1" applyBorder="1" applyProtection="1">
      <protection locked="0"/>
    </xf>
    <xf numFmtId="0" fontId="17" fillId="10" borderId="0" xfId="0" applyFont="1" applyFill="1" applyBorder="1" applyProtection="1">
      <protection locked="0"/>
    </xf>
    <xf numFmtId="0" fontId="0" fillId="9" borderId="0" xfId="0" applyFont="1" applyFill="1" applyBorder="1" applyAlignment="1">
      <alignment horizontal="left"/>
    </xf>
    <xf numFmtId="0" fontId="22" fillId="11" borderId="0" xfId="0" applyFont="1" applyFill="1" applyAlignment="1">
      <alignment horizontal="center" vertical="top" wrapText="1"/>
    </xf>
    <xf numFmtId="0" fontId="21" fillId="11" borderId="0" xfId="0" applyFont="1" applyFill="1" applyAlignment="1">
      <alignment horizontal="center" vertical="top" wrapText="1"/>
    </xf>
    <xf numFmtId="0" fontId="17" fillId="9" borderId="15" xfId="0" applyFont="1" applyFill="1" applyBorder="1" applyAlignment="1" applyProtection="1">
      <alignment horizontal="left" vertical="top"/>
      <protection locked="0"/>
    </xf>
    <xf numFmtId="0" fontId="17" fillId="9" borderId="0" xfId="0" applyFont="1" applyFill="1" applyBorder="1" applyAlignment="1" applyProtection="1">
      <alignment horizontal="left" vertical="top"/>
      <protection locked="0"/>
    </xf>
    <xf numFmtId="0" fontId="17" fillId="9" borderId="16" xfId="0" applyFont="1" applyFill="1" applyBorder="1" applyAlignment="1" applyProtection="1">
      <alignment horizontal="left" vertical="top"/>
      <protection locked="0"/>
    </xf>
    <xf numFmtId="0" fontId="0" fillId="8" borderId="0" xfId="0" applyFont="1" applyFill="1" applyBorder="1" applyAlignment="1" applyProtection="1">
      <alignment horizontal="left"/>
      <protection locked="0"/>
    </xf>
    <xf numFmtId="0" fontId="0" fillId="8" borderId="16" xfId="0" applyFont="1" applyFill="1" applyBorder="1" applyAlignment="1" applyProtection="1">
      <alignment horizontal="left"/>
      <protection locked="0"/>
    </xf>
    <xf numFmtId="0" fontId="0" fillId="9" borderId="0" xfId="0" applyFill="1" applyBorder="1" applyAlignment="1" applyProtection="1">
      <alignment horizontal="left"/>
      <protection locked="0"/>
    </xf>
    <xf numFmtId="0" fontId="0" fillId="9" borderId="16" xfId="0" applyFill="1" applyBorder="1" applyAlignment="1" applyProtection="1">
      <alignment horizontal="left"/>
      <protection locked="0"/>
    </xf>
    <xf numFmtId="0" fontId="14" fillId="10" borderId="0" xfId="0" applyFont="1" applyFill="1" applyBorder="1" applyAlignment="1" applyProtection="1">
      <alignment horizontal="left"/>
      <protection locked="0"/>
    </xf>
    <xf numFmtId="0" fontId="14" fillId="10" borderId="16" xfId="0" applyFont="1" applyFill="1" applyBorder="1" applyAlignment="1" applyProtection="1">
      <alignment horizontal="left"/>
      <protection locked="0"/>
    </xf>
    <xf numFmtId="0" fontId="22" fillId="13" borderId="0" xfId="0" applyFont="1" applyFill="1" applyAlignment="1">
      <alignment horizontal="center" wrapText="1"/>
    </xf>
    <xf numFmtId="0" fontId="0" fillId="13" borderId="0" xfId="0" applyFill="1" applyAlignment="1">
      <alignment horizontal="center" wrapText="1"/>
    </xf>
  </cellXfs>
  <cellStyles count="1">
    <cellStyle name="Standard" xfId="0" builtinId="0"/>
  </cellStyles>
  <dxfs count="105">
    <dxf>
      <font>
        <color theme="0"/>
      </font>
      <fill>
        <patternFill>
          <bgColor theme="4" tint="-0.24994659260841701"/>
        </patternFill>
      </fill>
    </dxf>
    <dxf>
      <font>
        <color rgb="FFE7C28D"/>
      </font>
    </dxf>
    <dxf>
      <font>
        <color rgb="FFE7C28D"/>
      </font>
    </dxf>
    <dxf>
      <font>
        <color rgb="FFE7C28D"/>
      </font>
    </dxf>
    <dxf>
      <font>
        <color rgb="FFE7C28D"/>
      </font>
    </dxf>
    <dxf>
      <font>
        <color rgb="FFE7C28D"/>
      </font>
    </dxf>
    <dxf>
      <font>
        <color rgb="FFE7C28D"/>
      </font>
    </dxf>
    <dxf>
      <font>
        <color rgb="FFE7C28D"/>
      </font>
    </dxf>
    <dxf>
      <font>
        <color rgb="FFE7C28D"/>
      </font>
    </dxf>
    <dxf>
      <font>
        <color rgb="FFF3E0C6"/>
      </font>
    </dxf>
    <dxf>
      <font>
        <color rgb="FFE7C28D"/>
      </font>
    </dxf>
    <dxf>
      <font>
        <color rgb="FFF3E0C6"/>
      </font>
    </dxf>
    <dxf>
      <font>
        <color rgb="FFF3E0C6"/>
      </font>
    </dxf>
    <dxf>
      <font>
        <color rgb="FFE7C28D"/>
      </font>
    </dxf>
    <dxf>
      <font>
        <color rgb="FFF3E0C6"/>
      </font>
    </dxf>
    <dxf>
      <font>
        <color rgb="FFF3E0C6"/>
      </font>
    </dxf>
    <dxf>
      <font>
        <color rgb="FFF3E0C6"/>
      </font>
    </dxf>
    <dxf>
      <font>
        <color rgb="FFF3E0C6"/>
      </font>
    </dxf>
    <dxf>
      <font>
        <color rgb="FFE7C28D"/>
      </font>
    </dxf>
    <dxf>
      <font>
        <color rgb="FFF3E0C6"/>
      </font>
    </dxf>
    <dxf>
      <font>
        <color rgb="FFF3E0C6"/>
      </font>
    </dxf>
    <dxf>
      <font>
        <color rgb="FFF3E0C6"/>
      </font>
    </dxf>
    <dxf>
      <font>
        <color rgb="FFF3E0C6"/>
      </font>
    </dxf>
    <dxf>
      <font>
        <color rgb="FFE7C28D"/>
      </font>
    </dxf>
    <dxf>
      <font>
        <color rgb="FFE7C28D"/>
      </font>
    </dxf>
    <dxf>
      <font>
        <color rgb="FFF3E0C6"/>
      </font>
    </dxf>
    <dxf>
      <font>
        <color rgb="FFE7C28D"/>
      </font>
    </dxf>
    <dxf>
      <font>
        <color rgb="FFF3E0C6"/>
      </font>
    </dxf>
    <dxf>
      <font>
        <color rgb="FFF3E0C6"/>
      </font>
    </dxf>
    <dxf>
      <font>
        <color rgb="FFF3E0C6"/>
      </font>
    </dxf>
    <dxf>
      <font>
        <color rgb="FFF3E0C6"/>
      </font>
    </dxf>
    <dxf>
      <font>
        <color rgb="FFE7C28D"/>
      </font>
    </dxf>
    <dxf>
      <font>
        <color rgb="FFE7C28D"/>
      </font>
    </dxf>
    <dxf>
      <font>
        <color rgb="FFC00000"/>
      </font>
      <fill>
        <patternFill>
          <bgColor rgb="FFFF9F9F"/>
        </patternFill>
      </fill>
    </dxf>
    <dxf>
      <font>
        <color rgb="FFC00000"/>
      </font>
      <fill>
        <patternFill patternType="solid">
          <bgColor rgb="FFFF9F9F"/>
        </patternFill>
      </fill>
    </dxf>
    <dxf>
      <font>
        <color rgb="FFC00000"/>
      </font>
      <fill>
        <patternFill patternType="solid">
          <bgColor rgb="FFFF9F9F"/>
        </patternFill>
      </fill>
    </dxf>
    <dxf>
      <font>
        <color rgb="FFC00000"/>
      </font>
      <fill>
        <patternFill patternType="solid">
          <bgColor rgb="FFFF9F9F"/>
        </patternFill>
      </fill>
    </dxf>
    <dxf>
      <font>
        <color rgb="FFC00000"/>
      </font>
      <fill>
        <patternFill patternType="solid">
          <bgColor rgb="FFFF9F9F"/>
        </patternFill>
      </fill>
    </dxf>
    <dxf>
      <font>
        <color rgb="FFC00000"/>
      </font>
      <fill>
        <patternFill patternType="solid">
          <bgColor rgb="FFFF9F9F"/>
        </patternFill>
      </fill>
    </dxf>
    <dxf>
      <font>
        <color rgb="FFC00000"/>
      </font>
      <fill>
        <patternFill>
          <bgColor rgb="FFFF9F9F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C00000"/>
      </font>
      <fill>
        <patternFill>
          <bgColor rgb="FFFF9F9F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C00000"/>
      </font>
      <fill>
        <patternFill>
          <fgColor rgb="FFFF9F9F"/>
          <bgColor rgb="FFFF9F9F"/>
        </patternFill>
      </fill>
    </dxf>
    <dxf>
      <font>
        <color rgb="FFE7C28D"/>
      </font>
    </dxf>
    <dxf>
      <font>
        <color rgb="FFF3E0C6"/>
      </font>
    </dxf>
    <dxf>
      <font>
        <color rgb="FFE7C28D"/>
      </font>
    </dxf>
    <dxf>
      <font>
        <color rgb="FFE7C28D"/>
      </font>
    </dxf>
    <dxf>
      <font>
        <color rgb="FFE7C28D"/>
      </font>
    </dxf>
    <dxf>
      <font>
        <color rgb="FFE7C28D"/>
      </font>
    </dxf>
    <dxf>
      <font>
        <color rgb="FFE7C28D"/>
      </font>
    </dxf>
    <dxf>
      <font>
        <color rgb="FFF3E0C6"/>
      </font>
    </dxf>
    <dxf>
      <font>
        <color rgb="FFF3E0C6"/>
      </font>
    </dxf>
    <dxf>
      <font>
        <color rgb="FFE7C28D"/>
      </font>
    </dxf>
    <dxf>
      <font>
        <color rgb="FFF3E0C6"/>
      </font>
    </dxf>
    <dxf>
      <font>
        <color rgb="FFF3E0C6"/>
      </font>
    </dxf>
    <dxf>
      <font>
        <color rgb="FFF3E0C6"/>
      </font>
    </dxf>
    <dxf>
      <font>
        <color rgb="FFF3E0C6"/>
      </font>
    </dxf>
    <dxf>
      <font>
        <color rgb="FFE7C28D"/>
      </font>
    </dxf>
    <dxf>
      <font>
        <color rgb="FFE7C28D"/>
      </font>
    </dxf>
    <dxf>
      <font>
        <color rgb="FFF3E0C6"/>
      </font>
    </dxf>
    <dxf>
      <font>
        <color rgb="FFE7C28D"/>
      </font>
    </dxf>
    <dxf>
      <font>
        <color rgb="FFF3E0C6"/>
      </font>
    </dxf>
    <dxf>
      <font>
        <color rgb="FFF3E0C6"/>
      </font>
    </dxf>
    <dxf>
      <font>
        <color rgb="FFF3E0C6"/>
      </font>
    </dxf>
    <dxf>
      <font>
        <color rgb="FFE7C28D"/>
      </font>
    </dxf>
    <dxf>
      <font>
        <color rgb="FFE7C28D"/>
      </font>
    </dxf>
    <dxf>
      <font>
        <color rgb="FFE7C28D"/>
      </font>
    </dxf>
    <dxf>
      <font>
        <color rgb="FFE7C28D"/>
      </font>
    </dxf>
    <dxf>
      <font>
        <color rgb="FFE7C28D"/>
      </font>
    </dxf>
    <dxf>
      <font>
        <color rgb="FFE7C28D"/>
      </font>
    </dxf>
    <dxf>
      <font>
        <color rgb="FFE7C28D"/>
      </font>
    </dxf>
    <dxf>
      <font>
        <color rgb="FFE7C28D"/>
      </font>
    </dxf>
    <dxf>
      <font>
        <color rgb="FFE7C28D"/>
      </font>
    </dxf>
    <dxf>
      <font>
        <color rgb="FFF3E0C6"/>
      </font>
    </dxf>
    <dxf>
      <font>
        <color rgb="FFE7C28D"/>
      </font>
    </dxf>
    <dxf>
      <font>
        <color rgb="FFF3E0C6"/>
      </font>
    </dxf>
    <dxf>
      <font>
        <color rgb="FFF3E0C6"/>
      </font>
    </dxf>
    <dxf>
      <font>
        <color rgb="FFE7C28D"/>
      </font>
    </dxf>
    <dxf>
      <font>
        <color rgb="FFF3E0C6"/>
      </font>
    </dxf>
    <dxf>
      <font>
        <color rgb="FFF3E0C6"/>
      </font>
    </dxf>
    <dxf>
      <font>
        <color rgb="FFF3E0C6"/>
      </font>
    </dxf>
    <dxf>
      <font>
        <color rgb="FFF3E0C6"/>
      </font>
    </dxf>
    <dxf>
      <font>
        <color rgb="FFE7C28D"/>
      </font>
    </dxf>
    <dxf>
      <font>
        <color rgb="FFF3E0C6"/>
      </font>
    </dxf>
    <dxf>
      <font>
        <color rgb="FFF3E0C6"/>
      </font>
    </dxf>
    <dxf>
      <font>
        <color rgb="FFF3E0C6"/>
      </font>
    </dxf>
    <dxf>
      <font>
        <color rgb="FFF3E0C6"/>
      </font>
    </dxf>
    <dxf>
      <font>
        <color rgb="FFE7C28D"/>
      </font>
    </dxf>
    <dxf>
      <font>
        <color rgb="FFE7C28D"/>
      </font>
    </dxf>
    <dxf>
      <font>
        <color rgb="FFF3E0C6"/>
      </font>
    </dxf>
    <dxf>
      <font>
        <color rgb="FFE7C28D"/>
      </font>
    </dxf>
    <dxf>
      <font>
        <color rgb="FFF3E0C6"/>
      </font>
    </dxf>
    <dxf>
      <font>
        <color rgb="FFF3E0C6"/>
      </font>
    </dxf>
    <dxf>
      <font>
        <color rgb="FFF3E0C6"/>
      </font>
    </dxf>
    <dxf>
      <font>
        <color rgb="FFF3E0C6"/>
      </font>
    </dxf>
    <dxf>
      <font>
        <color rgb="FFE7C28D"/>
      </font>
    </dxf>
    <dxf>
      <font>
        <color rgb="FFE7C28D"/>
      </font>
    </dxf>
  </dxfs>
  <tableStyles count="0" defaultTableStyle="TableStyleMedium2" defaultPivotStyle="PivotStyleLight16"/>
  <colors>
    <mruColors>
      <color rgb="FFF3E0C6"/>
      <color rgb="FFDBA454"/>
      <color rgb="FFE7C28D"/>
      <color rgb="FFFFFFFF"/>
      <color rgb="FFF3F3F3"/>
      <color rgb="FFFAEBD6"/>
      <color rgb="FFE0E0E0"/>
      <color rgb="FFFF9F9F"/>
      <color rgb="FFC6EFCE"/>
      <color rgb="FF0061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checked="Checked" fmlaLink="$A$7" lockText="1" noThreeD="1"/>
</file>

<file path=xl/ctrlProps/ctrlProp10.xml><?xml version="1.0" encoding="utf-8"?>
<formControlPr xmlns="http://schemas.microsoft.com/office/spreadsheetml/2009/9/main" objectType="CheckBox" fmlaLink="$E$10" lockText="1" noThreeD="1"/>
</file>

<file path=xl/ctrlProps/ctrlProp11.xml><?xml version="1.0" encoding="utf-8"?>
<formControlPr xmlns="http://schemas.microsoft.com/office/spreadsheetml/2009/9/main" objectType="CheckBox" fmlaLink="$A$13" lockText="1" noThreeD="1"/>
</file>

<file path=xl/ctrlProps/ctrlProp12.xml><?xml version="1.0" encoding="utf-8"?>
<formControlPr xmlns="http://schemas.microsoft.com/office/spreadsheetml/2009/9/main" objectType="CheckBox" fmlaLink="$B$13" lockText="1" noThreeD="1"/>
</file>

<file path=xl/ctrlProps/ctrlProp13.xml><?xml version="1.0" encoding="utf-8"?>
<formControlPr xmlns="http://schemas.microsoft.com/office/spreadsheetml/2009/9/main" objectType="CheckBox" fmlaLink="$C$13" lockText="1" noThreeD="1"/>
</file>

<file path=xl/ctrlProps/ctrlProp14.xml><?xml version="1.0" encoding="utf-8"?>
<formControlPr xmlns="http://schemas.microsoft.com/office/spreadsheetml/2009/9/main" objectType="CheckBox" fmlaLink="$D$13" lockText="1" noThreeD="1"/>
</file>

<file path=xl/ctrlProps/ctrlProp15.xml><?xml version="1.0" encoding="utf-8"?>
<formControlPr xmlns="http://schemas.microsoft.com/office/spreadsheetml/2009/9/main" objectType="CheckBox" fmlaLink="$E$13" lockText="1" noThreeD="1"/>
</file>

<file path=xl/ctrlProps/ctrlProp16.xml><?xml version="1.0" encoding="utf-8"?>
<formControlPr xmlns="http://schemas.microsoft.com/office/spreadsheetml/2009/9/main" objectType="CheckBox" fmlaLink="$A$16" lockText="1" noThreeD="1"/>
</file>

<file path=xl/ctrlProps/ctrlProp17.xml><?xml version="1.0" encoding="utf-8"?>
<formControlPr xmlns="http://schemas.microsoft.com/office/spreadsheetml/2009/9/main" objectType="CheckBox" fmlaLink="$B$16" lockText="1" noThreeD="1"/>
</file>

<file path=xl/ctrlProps/ctrlProp18.xml><?xml version="1.0" encoding="utf-8"?>
<formControlPr xmlns="http://schemas.microsoft.com/office/spreadsheetml/2009/9/main" objectType="CheckBox" fmlaLink="$C$16" lockText="1" noThreeD="1"/>
</file>

<file path=xl/ctrlProps/ctrlProp19.xml><?xml version="1.0" encoding="utf-8"?>
<formControlPr xmlns="http://schemas.microsoft.com/office/spreadsheetml/2009/9/main" objectType="CheckBox" fmlaLink="$D$16" lockText="1" noThreeD="1"/>
</file>

<file path=xl/ctrlProps/ctrlProp2.xml><?xml version="1.0" encoding="utf-8"?>
<formControlPr xmlns="http://schemas.microsoft.com/office/spreadsheetml/2009/9/main" objectType="CheckBox" checked="Checked" fmlaLink="$B$7" lockText="1" noThreeD="1"/>
</file>

<file path=xl/ctrlProps/ctrlProp20.xml><?xml version="1.0" encoding="utf-8"?>
<formControlPr xmlns="http://schemas.microsoft.com/office/spreadsheetml/2009/9/main" objectType="CheckBox" fmlaLink="$E$16" lockText="1" noThreeD="1"/>
</file>

<file path=xl/ctrlProps/ctrlProp21.xml><?xml version="1.0" encoding="utf-8"?>
<formControlPr xmlns="http://schemas.microsoft.com/office/spreadsheetml/2009/9/main" objectType="CheckBox" fmlaLink="$A$19" lockText="1" noThreeD="1"/>
</file>

<file path=xl/ctrlProps/ctrlProp22.xml><?xml version="1.0" encoding="utf-8"?>
<formControlPr xmlns="http://schemas.microsoft.com/office/spreadsheetml/2009/9/main" objectType="CheckBox" fmlaLink="$B$19" lockText="1" noThreeD="1"/>
</file>

<file path=xl/ctrlProps/ctrlProp23.xml><?xml version="1.0" encoding="utf-8"?>
<formControlPr xmlns="http://schemas.microsoft.com/office/spreadsheetml/2009/9/main" objectType="CheckBox" fmlaLink="$C$19" lockText="1" noThreeD="1"/>
</file>

<file path=xl/ctrlProps/ctrlProp24.xml><?xml version="1.0" encoding="utf-8"?>
<formControlPr xmlns="http://schemas.microsoft.com/office/spreadsheetml/2009/9/main" objectType="CheckBox" fmlaLink="$D$19" lockText="1" noThreeD="1"/>
</file>

<file path=xl/ctrlProps/ctrlProp25.xml><?xml version="1.0" encoding="utf-8"?>
<formControlPr xmlns="http://schemas.microsoft.com/office/spreadsheetml/2009/9/main" objectType="CheckBox" fmlaLink="$E$19" lockText="1" noThreeD="1"/>
</file>

<file path=xl/ctrlProps/ctrlProp26.xml><?xml version="1.0" encoding="utf-8"?>
<formControlPr xmlns="http://schemas.microsoft.com/office/spreadsheetml/2009/9/main" objectType="CheckBox" fmlaLink="$A$22" lockText="1" noThreeD="1"/>
</file>

<file path=xl/ctrlProps/ctrlProp27.xml><?xml version="1.0" encoding="utf-8"?>
<formControlPr xmlns="http://schemas.microsoft.com/office/spreadsheetml/2009/9/main" objectType="CheckBox" fmlaLink="$B$22" lockText="1" noThreeD="1"/>
</file>

<file path=xl/ctrlProps/ctrlProp28.xml><?xml version="1.0" encoding="utf-8"?>
<formControlPr xmlns="http://schemas.microsoft.com/office/spreadsheetml/2009/9/main" objectType="CheckBox" fmlaLink="$C$22" lockText="1" noThreeD="1"/>
</file>

<file path=xl/ctrlProps/ctrlProp29.xml><?xml version="1.0" encoding="utf-8"?>
<formControlPr xmlns="http://schemas.microsoft.com/office/spreadsheetml/2009/9/main" objectType="CheckBox" fmlaLink="$D$22" lockText="1" noThreeD="1"/>
</file>

<file path=xl/ctrlProps/ctrlProp3.xml><?xml version="1.0" encoding="utf-8"?>
<formControlPr xmlns="http://schemas.microsoft.com/office/spreadsheetml/2009/9/main" objectType="CheckBox" checked="Checked" fmlaLink="$C$7" lockText="1" noThreeD="1"/>
</file>

<file path=xl/ctrlProps/ctrlProp30.xml><?xml version="1.0" encoding="utf-8"?>
<formControlPr xmlns="http://schemas.microsoft.com/office/spreadsheetml/2009/9/main" objectType="CheckBox" fmlaLink="$E$22" lockText="1" noThreeD="1"/>
</file>

<file path=xl/ctrlProps/ctrlProp31.xml><?xml version="1.0" encoding="utf-8"?>
<formControlPr xmlns="http://schemas.microsoft.com/office/spreadsheetml/2009/9/main" objectType="CheckBox" fmlaLink="$A$25" lockText="1" noThreeD="1"/>
</file>

<file path=xl/ctrlProps/ctrlProp32.xml><?xml version="1.0" encoding="utf-8"?>
<formControlPr xmlns="http://schemas.microsoft.com/office/spreadsheetml/2009/9/main" objectType="CheckBox" fmlaLink="$B$25" lockText="1" noThreeD="1"/>
</file>

<file path=xl/ctrlProps/ctrlProp33.xml><?xml version="1.0" encoding="utf-8"?>
<formControlPr xmlns="http://schemas.microsoft.com/office/spreadsheetml/2009/9/main" objectType="CheckBox" fmlaLink="$C$25" lockText="1" noThreeD="1"/>
</file>

<file path=xl/ctrlProps/ctrlProp34.xml><?xml version="1.0" encoding="utf-8"?>
<formControlPr xmlns="http://schemas.microsoft.com/office/spreadsheetml/2009/9/main" objectType="CheckBox" fmlaLink="$D$25" lockText="1" noThreeD="1"/>
</file>

<file path=xl/ctrlProps/ctrlProp35.xml><?xml version="1.0" encoding="utf-8"?>
<formControlPr xmlns="http://schemas.microsoft.com/office/spreadsheetml/2009/9/main" objectType="CheckBox" fmlaLink="$E$25" lockText="1" noThreeD="1"/>
</file>

<file path=xl/ctrlProps/ctrlProp36.xml><?xml version="1.0" encoding="utf-8"?>
<formControlPr xmlns="http://schemas.microsoft.com/office/spreadsheetml/2009/9/main" objectType="CheckBox" fmlaLink="$A$25" lockText="1" noThreeD="1"/>
</file>

<file path=xl/ctrlProps/ctrlProp37.xml><?xml version="1.0" encoding="utf-8"?>
<formControlPr xmlns="http://schemas.microsoft.com/office/spreadsheetml/2009/9/main" objectType="CheckBox" fmlaLink="$B$25" lockText="1" noThreeD="1"/>
</file>

<file path=xl/ctrlProps/ctrlProp38.xml><?xml version="1.0" encoding="utf-8"?>
<formControlPr xmlns="http://schemas.microsoft.com/office/spreadsheetml/2009/9/main" objectType="CheckBox" fmlaLink="$C$25" lockText="1" noThreeD="1"/>
</file>

<file path=xl/ctrlProps/ctrlProp39.xml><?xml version="1.0" encoding="utf-8"?>
<formControlPr xmlns="http://schemas.microsoft.com/office/spreadsheetml/2009/9/main" objectType="CheckBox" fmlaLink="$D$25" lockText="1" noThreeD="1"/>
</file>

<file path=xl/ctrlProps/ctrlProp4.xml><?xml version="1.0" encoding="utf-8"?>
<formControlPr xmlns="http://schemas.microsoft.com/office/spreadsheetml/2009/9/main" objectType="CheckBox" checked="Checked" fmlaLink="$D$7" lockText="1" noThreeD="1"/>
</file>

<file path=xl/ctrlProps/ctrlProp40.xml><?xml version="1.0" encoding="utf-8"?>
<formControlPr xmlns="http://schemas.microsoft.com/office/spreadsheetml/2009/9/main" objectType="CheckBox" fmlaLink="$E$25" lockText="1" noThreeD="1"/>
</file>

<file path=xl/ctrlProps/ctrlProp41.xml><?xml version="1.0" encoding="utf-8"?>
<formControlPr xmlns="http://schemas.microsoft.com/office/spreadsheetml/2009/9/main" objectType="CheckBox" fmlaLink="$A$25" lockText="1" noThreeD="1"/>
</file>

<file path=xl/ctrlProps/ctrlProp42.xml><?xml version="1.0" encoding="utf-8"?>
<formControlPr xmlns="http://schemas.microsoft.com/office/spreadsheetml/2009/9/main" objectType="CheckBox" fmlaLink="$B$25" lockText="1" noThreeD="1"/>
</file>

<file path=xl/ctrlProps/ctrlProp43.xml><?xml version="1.0" encoding="utf-8"?>
<formControlPr xmlns="http://schemas.microsoft.com/office/spreadsheetml/2009/9/main" objectType="CheckBox" fmlaLink="$C$25" lockText="1" noThreeD="1"/>
</file>

<file path=xl/ctrlProps/ctrlProp44.xml><?xml version="1.0" encoding="utf-8"?>
<formControlPr xmlns="http://schemas.microsoft.com/office/spreadsheetml/2009/9/main" objectType="CheckBox" fmlaLink="$D$25" lockText="1" noThreeD="1"/>
</file>

<file path=xl/ctrlProps/ctrlProp45.xml><?xml version="1.0" encoding="utf-8"?>
<formControlPr xmlns="http://schemas.microsoft.com/office/spreadsheetml/2009/9/main" objectType="CheckBox" fmlaLink="$E$25" lockText="1" noThreeD="1"/>
</file>

<file path=xl/ctrlProps/ctrlProp46.xml><?xml version="1.0" encoding="utf-8"?>
<formControlPr xmlns="http://schemas.microsoft.com/office/spreadsheetml/2009/9/main" objectType="CheckBox" fmlaLink="$A$28" lockText="1" noThreeD="1"/>
</file>

<file path=xl/ctrlProps/ctrlProp47.xml><?xml version="1.0" encoding="utf-8"?>
<formControlPr xmlns="http://schemas.microsoft.com/office/spreadsheetml/2009/9/main" objectType="CheckBox" fmlaLink="$B$28" lockText="1" noThreeD="1"/>
</file>

<file path=xl/ctrlProps/ctrlProp48.xml><?xml version="1.0" encoding="utf-8"?>
<formControlPr xmlns="http://schemas.microsoft.com/office/spreadsheetml/2009/9/main" objectType="CheckBox" fmlaLink="$C$28" lockText="1" noThreeD="1"/>
</file>

<file path=xl/ctrlProps/ctrlProp49.xml><?xml version="1.0" encoding="utf-8"?>
<formControlPr xmlns="http://schemas.microsoft.com/office/spreadsheetml/2009/9/main" objectType="CheckBox" fmlaLink="$D$28" lockText="1" noThreeD="1"/>
</file>

<file path=xl/ctrlProps/ctrlProp5.xml><?xml version="1.0" encoding="utf-8"?>
<formControlPr xmlns="http://schemas.microsoft.com/office/spreadsheetml/2009/9/main" objectType="CheckBox" checked="Checked" fmlaLink="$E$7" lockText="1" noThreeD="1"/>
</file>

<file path=xl/ctrlProps/ctrlProp50.xml><?xml version="1.0" encoding="utf-8"?>
<formControlPr xmlns="http://schemas.microsoft.com/office/spreadsheetml/2009/9/main" objectType="CheckBox" fmlaLink="$E$28" lockText="1" noThreeD="1"/>
</file>

<file path=xl/ctrlProps/ctrlProp6.xml><?xml version="1.0" encoding="utf-8"?>
<formControlPr xmlns="http://schemas.microsoft.com/office/spreadsheetml/2009/9/main" objectType="CheckBox" checked="Checked" fmlaLink="$A$10" lockText="1" noThreeD="1"/>
</file>

<file path=xl/ctrlProps/ctrlProp7.xml><?xml version="1.0" encoding="utf-8"?>
<formControlPr xmlns="http://schemas.microsoft.com/office/spreadsheetml/2009/9/main" objectType="CheckBox" checked="Checked" fmlaLink="$B$10" lockText="1" noThreeD="1"/>
</file>

<file path=xl/ctrlProps/ctrlProp8.xml><?xml version="1.0" encoding="utf-8"?>
<formControlPr xmlns="http://schemas.microsoft.com/office/spreadsheetml/2009/9/main" objectType="CheckBox" checked="Checked" fmlaLink="$C$10" lockText="1" noThreeD="1"/>
</file>

<file path=xl/ctrlProps/ctrlProp9.xml><?xml version="1.0" encoding="utf-8"?>
<formControlPr xmlns="http://schemas.microsoft.com/office/spreadsheetml/2009/9/main" objectType="CheckBox" checked="Checked" fmlaLink="$D$10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43</xdr:row>
      <xdr:rowOff>133350</xdr:rowOff>
    </xdr:from>
    <xdr:to>
      <xdr:col>6</xdr:col>
      <xdr:colOff>942975</xdr:colOff>
      <xdr:row>49</xdr:row>
      <xdr:rowOff>142309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0" y="8058150"/>
          <a:ext cx="942975" cy="1151959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</xdr:colOff>
      <xdr:row>45</xdr:row>
      <xdr:rowOff>76200</xdr:rowOff>
    </xdr:from>
    <xdr:to>
      <xdr:col>14</xdr:col>
      <xdr:colOff>294313</xdr:colOff>
      <xdr:row>49</xdr:row>
      <xdr:rowOff>109729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15075" y="8382000"/>
          <a:ext cx="3370888" cy="795529"/>
        </a:xfrm>
        <a:prstGeom prst="rect">
          <a:avLst/>
        </a:prstGeom>
      </xdr:spPr>
    </xdr:pic>
    <xdr:clientData/>
  </xdr:twoCellAnchor>
  <xdr:twoCellAnchor editAs="oneCell">
    <xdr:from>
      <xdr:col>6</xdr:col>
      <xdr:colOff>38100</xdr:colOff>
      <xdr:row>1</xdr:row>
      <xdr:rowOff>1</xdr:rowOff>
    </xdr:from>
    <xdr:to>
      <xdr:col>8</xdr:col>
      <xdr:colOff>266700</xdr:colOff>
      <xdr:row>2</xdr:row>
      <xdr:rowOff>187148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3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14975" y="295276"/>
          <a:ext cx="1600200" cy="37764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6</xdr:row>
          <xdr:rowOff>0</xdr:rowOff>
        </xdr:from>
        <xdr:to>
          <xdr:col>0</xdr:col>
          <xdr:colOff>514350</xdr:colOff>
          <xdr:row>7</xdr:row>
          <xdr:rowOff>19050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6</xdr:row>
          <xdr:rowOff>0</xdr:rowOff>
        </xdr:from>
        <xdr:to>
          <xdr:col>1</xdr:col>
          <xdr:colOff>542925</xdr:colOff>
          <xdr:row>7</xdr:row>
          <xdr:rowOff>19050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6</xdr:row>
          <xdr:rowOff>0</xdr:rowOff>
        </xdr:from>
        <xdr:to>
          <xdr:col>2</xdr:col>
          <xdr:colOff>542925</xdr:colOff>
          <xdr:row>7</xdr:row>
          <xdr:rowOff>19050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333375</xdr:colOff>
          <xdr:row>6</xdr:row>
          <xdr:rowOff>0</xdr:rowOff>
        </xdr:from>
        <xdr:to>
          <xdr:col>3</xdr:col>
          <xdr:colOff>533400</xdr:colOff>
          <xdr:row>7</xdr:row>
          <xdr:rowOff>19050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6</xdr:row>
          <xdr:rowOff>0</xdr:rowOff>
        </xdr:from>
        <xdr:to>
          <xdr:col>4</xdr:col>
          <xdr:colOff>533400</xdr:colOff>
          <xdr:row>7</xdr:row>
          <xdr:rowOff>19050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9</xdr:row>
          <xdr:rowOff>0</xdr:rowOff>
        </xdr:from>
        <xdr:to>
          <xdr:col>0</xdr:col>
          <xdr:colOff>514350</xdr:colOff>
          <xdr:row>10</xdr:row>
          <xdr:rowOff>19050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9</xdr:row>
          <xdr:rowOff>0</xdr:rowOff>
        </xdr:from>
        <xdr:to>
          <xdr:col>1</xdr:col>
          <xdr:colOff>542925</xdr:colOff>
          <xdr:row>10</xdr:row>
          <xdr:rowOff>19050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9</xdr:row>
          <xdr:rowOff>0</xdr:rowOff>
        </xdr:from>
        <xdr:to>
          <xdr:col>2</xdr:col>
          <xdr:colOff>542925</xdr:colOff>
          <xdr:row>10</xdr:row>
          <xdr:rowOff>19050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333375</xdr:colOff>
          <xdr:row>9</xdr:row>
          <xdr:rowOff>0</xdr:rowOff>
        </xdr:from>
        <xdr:to>
          <xdr:col>3</xdr:col>
          <xdr:colOff>533400</xdr:colOff>
          <xdr:row>10</xdr:row>
          <xdr:rowOff>19050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9</xdr:row>
          <xdr:rowOff>0</xdr:rowOff>
        </xdr:from>
        <xdr:to>
          <xdr:col>4</xdr:col>
          <xdr:colOff>533400</xdr:colOff>
          <xdr:row>10</xdr:row>
          <xdr:rowOff>19050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12</xdr:row>
          <xdr:rowOff>0</xdr:rowOff>
        </xdr:from>
        <xdr:to>
          <xdr:col>0</xdr:col>
          <xdr:colOff>514350</xdr:colOff>
          <xdr:row>13</xdr:row>
          <xdr:rowOff>19050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12</xdr:row>
          <xdr:rowOff>0</xdr:rowOff>
        </xdr:from>
        <xdr:to>
          <xdr:col>1</xdr:col>
          <xdr:colOff>542925</xdr:colOff>
          <xdr:row>13</xdr:row>
          <xdr:rowOff>19050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12</xdr:row>
          <xdr:rowOff>0</xdr:rowOff>
        </xdr:from>
        <xdr:to>
          <xdr:col>2</xdr:col>
          <xdr:colOff>542925</xdr:colOff>
          <xdr:row>13</xdr:row>
          <xdr:rowOff>19050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333375</xdr:colOff>
          <xdr:row>12</xdr:row>
          <xdr:rowOff>0</xdr:rowOff>
        </xdr:from>
        <xdr:to>
          <xdr:col>3</xdr:col>
          <xdr:colOff>533400</xdr:colOff>
          <xdr:row>13</xdr:row>
          <xdr:rowOff>19050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12</xdr:row>
          <xdr:rowOff>0</xdr:rowOff>
        </xdr:from>
        <xdr:to>
          <xdr:col>4</xdr:col>
          <xdr:colOff>533400</xdr:colOff>
          <xdr:row>13</xdr:row>
          <xdr:rowOff>19050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15</xdr:row>
          <xdr:rowOff>0</xdr:rowOff>
        </xdr:from>
        <xdr:to>
          <xdr:col>0</xdr:col>
          <xdr:colOff>514350</xdr:colOff>
          <xdr:row>16</xdr:row>
          <xdr:rowOff>19050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15</xdr:row>
          <xdr:rowOff>0</xdr:rowOff>
        </xdr:from>
        <xdr:to>
          <xdr:col>1</xdr:col>
          <xdr:colOff>542925</xdr:colOff>
          <xdr:row>16</xdr:row>
          <xdr:rowOff>19050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15</xdr:row>
          <xdr:rowOff>0</xdr:rowOff>
        </xdr:from>
        <xdr:to>
          <xdr:col>2</xdr:col>
          <xdr:colOff>542925</xdr:colOff>
          <xdr:row>16</xdr:row>
          <xdr:rowOff>19050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333375</xdr:colOff>
          <xdr:row>15</xdr:row>
          <xdr:rowOff>0</xdr:rowOff>
        </xdr:from>
        <xdr:to>
          <xdr:col>3</xdr:col>
          <xdr:colOff>533400</xdr:colOff>
          <xdr:row>16</xdr:row>
          <xdr:rowOff>19050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15</xdr:row>
          <xdr:rowOff>0</xdr:rowOff>
        </xdr:from>
        <xdr:to>
          <xdr:col>4</xdr:col>
          <xdr:colOff>533400</xdr:colOff>
          <xdr:row>16</xdr:row>
          <xdr:rowOff>19050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18</xdr:row>
          <xdr:rowOff>0</xdr:rowOff>
        </xdr:from>
        <xdr:to>
          <xdr:col>0</xdr:col>
          <xdr:colOff>514350</xdr:colOff>
          <xdr:row>19</xdr:row>
          <xdr:rowOff>19050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18</xdr:row>
          <xdr:rowOff>0</xdr:rowOff>
        </xdr:from>
        <xdr:to>
          <xdr:col>1</xdr:col>
          <xdr:colOff>542925</xdr:colOff>
          <xdr:row>19</xdr:row>
          <xdr:rowOff>19050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18</xdr:row>
          <xdr:rowOff>0</xdr:rowOff>
        </xdr:from>
        <xdr:to>
          <xdr:col>2</xdr:col>
          <xdr:colOff>542925</xdr:colOff>
          <xdr:row>19</xdr:row>
          <xdr:rowOff>19050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333375</xdr:colOff>
          <xdr:row>18</xdr:row>
          <xdr:rowOff>0</xdr:rowOff>
        </xdr:from>
        <xdr:to>
          <xdr:col>3</xdr:col>
          <xdr:colOff>533400</xdr:colOff>
          <xdr:row>19</xdr:row>
          <xdr:rowOff>19050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18</xdr:row>
          <xdr:rowOff>0</xdr:rowOff>
        </xdr:from>
        <xdr:to>
          <xdr:col>4</xdr:col>
          <xdr:colOff>533400</xdr:colOff>
          <xdr:row>19</xdr:row>
          <xdr:rowOff>19050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21</xdr:row>
          <xdr:rowOff>0</xdr:rowOff>
        </xdr:from>
        <xdr:to>
          <xdr:col>0</xdr:col>
          <xdr:colOff>514350</xdr:colOff>
          <xdr:row>22</xdr:row>
          <xdr:rowOff>19050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21</xdr:row>
          <xdr:rowOff>0</xdr:rowOff>
        </xdr:from>
        <xdr:to>
          <xdr:col>1</xdr:col>
          <xdr:colOff>542925</xdr:colOff>
          <xdr:row>22</xdr:row>
          <xdr:rowOff>19050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21</xdr:row>
          <xdr:rowOff>0</xdr:rowOff>
        </xdr:from>
        <xdr:to>
          <xdr:col>2</xdr:col>
          <xdr:colOff>542925</xdr:colOff>
          <xdr:row>22</xdr:row>
          <xdr:rowOff>19050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333375</xdr:colOff>
          <xdr:row>21</xdr:row>
          <xdr:rowOff>0</xdr:rowOff>
        </xdr:from>
        <xdr:to>
          <xdr:col>3</xdr:col>
          <xdr:colOff>533400</xdr:colOff>
          <xdr:row>22</xdr:row>
          <xdr:rowOff>19050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21</xdr:row>
          <xdr:rowOff>0</xdr:rowOff>
        </xdr:from>
        <xdr:to>
          <xdr:col>4</xdr:col>
          <xdr:colOff>533400</xdr:colOff>
          <xdr:row>22</xdr:row>
          <xdr:rowOff>19050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24</xdr:row>
          <xdr:rowOff>0</xdr:rowOff>
        </xdr:from>
        <xdr:to>
          <xdr:col>0</xdr:col>
          <xdr:colOff>514350</xdr:colOff>
          <xdr:row>25</xdr:row>
          <xdr:rowOff>19050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24</xdr:row>
          <xdr:rowOff>0</xdr:rowOff>
        </xdr:from>
        <xdr:to>
          <xdr:col>1</xdr:col>
          <xdr:colOff>542925</xdr:colOff>
          <xdr:row>25</xdr:row>
          <xdr:rowOff>19050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24</xdr:row>
          <xdr:rowOff>0</xdr:rowOff>
        </xdr:from>
        <xdr:to>
          <xdr:col>2</xdr:col>
          <xdr:colOff>542925</xdr:colOff>
          <xdr:row>25</xdr:row>
          <xdr:rowOff>19050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333375</xdr:colOff>
          <xdr:row>24</xdr:row>
          <xdr:rowOff>0</xdr:rowOff>
        </xdr:from>
        <xdr:to>
          <xdr:col>3</xdr:col>
          <xdr:colOff>533400</xdr:colOff>
          <xdr:row>25</xdr:row>
          <xdr:rowOff>19050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24</xdr:row>
          <xdr:rowOff>0</xdr:rowOff>
        </xdr:from>
        <xdr:to>
          <xdr:col>4</xdr:col>
          <xdr:colOff>533400</xdr:colOff>
          <xdr:row>25</xdr:row>
          <xdr:rowOff>19050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24</xdr:row>
          <xdr:rowOff>0</xdr:rowOff>
        </xdr:from>
        <xdr:to>
          <xdr:col>0</xdr:col>
          <xdr:colOff>514350</xdr:colOff>
          <xdr:row>25</xdr:row>
          <xdr:rowOff>19050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24</xdr:row>
          <xdr:rowOff>0</xdr:rowOff>
        </xdr:from>
        <xdr:to>
          <xdr:col>1</xdr:col>
          <xdr:colOff>542925</xdr:colOff>
          <xdr:row>25</xdr:row>
          <xdr:rowOff>19050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24</xdr:row>
          <xdr:rowOff>0</xdr:rowOff>
        </xdr:from>
        <xdr:to>
          <xdr:col>2</xdr:col>
          <xdr:colOff>542925</xdr:colOff>
          <xdr:row>25</xdr:row>
          <xdr:rowOff>19050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333375</xdr:colOff>
          <xdr:row>24</xdr:row>
          <xdr:rowOff>0</xdr:rowOff>
        </xdr:from>
        <xdr:to>
          <xdr:col>3</xdr:col>
          <xdr:colOff>533400</xdr:colOff>
          <xdr:row>25</xdr:row>
          <xdr:rowOff>19050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24</xdr:row>
          <xdr:rowOff>0</xdr:rowOff>
        </xdr:from>
        <xdr:to>
          <xdr:col>4</xdr:col>
          <xdr:colOff>533400</xdr:colOff>
          <xdr:row>25</xdr:row>
          <xdr:rowOff>19050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27</xdr:row>
          <xdr:rowOff>0</xdr:rowOff>
        </xdr:from>
        <xdr:to>
          <xdr:col>0</xdr:col>
          <xdr:colOff>514350</xdr:colOff>
          <xdr:row>28</xdr:row>
          <xdr:rowOff>19050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27</xdr:row>
          <xdr:rowOff>0</xdr:rowOff>
        </xdr:from>
        <xdr:to>
          <xdr:col>1</xdr:col>
          <xdr:colOff>542925</xdr:colOff>
          <xdr:row>28</xdr:row>
          <xdr:rowOff>19050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27</xdr:row>
          <xdr:rowOff>0</xdr:rowOff>
        </xdr:from>
        <xdr:to>
          <xdr:col>2</xdr:col>
          <xdr:colOff>542925</xdr:colOff>
          <xdr:row>28</xdr:row>
          <xdr:rowOff>19050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333375</xdr:colOff>
          <xdr:row>27</xdr:row>
          <xdr:rowOff>0</xdr:rowOff>
        </xdr:from>
        <xdr:to>
          <xdr:col>3</xdr:col>
          <xdr:colOff>533400</xdr:colOff>
          <xdr:row>28</xdr:row>
          <xdr:rowOff>19050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27</xdr:row>
          <xdr:rowOff>0</xdr:rowOff>
        </xdr:from>
        <xdr:to>
          <xdr:col>4</xdr:col>
          <xdr:colOff>533400</xdr:colOff>
          <xdr:row>28</xdr:row>
          <xdr:rowOff>19050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27</xdr:row>
          <xdr:rowOff>0</xdr:rowOff>
        </xdr:from>
        <xdr:to>
          <xdr:col>0</xdr:col>
          <xdr:colOff>514350</xdr:colOff>
          <xdr:row>28</xdr:row>
          <xdr:rowOff>19050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27</xdr:row>
          <xdr:rowOff>0</xdr:rowOff>
        </xdr:from>
        <xdr:to>
          <xdr:col>1</xdr:col>
          <xdr:colOff>542925</xdr:colOff>
          <xdr:row>28</xdr:row>
          <xdr:rowOff>19050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27</xdr:row>
          <xdr:rowOff>0</xdr:rowOff>
        </xdr:from>
        <xdr:to>
          <xdr:col>2</xdr:col>
          <xdr:colOff>542925</xdr:colOff>
          <xdr:row>28</xdr:row>
          <xdr:rowOff>19050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333375</xdr:colOff>
          <xdr:row>27</xdr:row>
          <xdr:rowOff>0</xdr:rowOff>
        </xdr:from>
        <xdr:to>
          <xdr:col>3</xdr:col>
          <xdr:colOff>533400</xdr:colOff>
          <xdr:row>28</xdr:row>
          <xdr:rowOff>19050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27</xdr:row>
          <xdr:rowOff>0</xdr:rowOff>
        </xdr:from>
        <xdr:to>
          <xdr:col>4</xdr:col>
          <xdr:colOff>533400</xdr:colOff>
          <xdr:row>28</xdr:row>
          <xdr:rowOff>19050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7</xdr:col>
      <xdr:colOff>19050</xdr:colOff>
      <xdr:row>1</xdr:row>
      <xdr:rowOff>0</xdr:rowOff>
    </xdr:from>
    <xdr:to>
      <xdr:col>9</xdr:col>
      <xdr:colOff>314325</xdr:colOff>
      <xdr:row>2</xdr:row>
      <xdr:rowOff>187147</xdr:rowOff>
    </xdr:to>
    <xdr:pic>
      <xdr:nvPicPr>
        <xdr:cNvPr id="54" name="Grafik 53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0" y="266700"/>
          <a:ext cx="1600200" cy="377647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37</xdr:row>
      <xdr:rowOff>171450</xdr:rowOff>
    </xdr:from>
    <xdr:to>
      <xdr:col>7</xdr:col>
      <xdr:colOff>942975</xdr:colOff>
      <xdr:row>43</xdr:row>
      <xdr:rowOff>180409</xdr:rowOff>
    </xdr:to>
    <xdr:pic>
      <xdr:nvPicPr>
        <xdr:cNvPr id="55" name="Grafik 5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6450" y="7305675"/>
          <a:ext cx="942975" cy="1151959"/>
        </a:xfrm>
        <a:prstGeom prst="rect">
          <a:avLst/>
        </a:prstGeom>
      </xdr:spPr>
    </xdr:pic>
    <xdr:clientData/>
  </xdr:twoCellAnchor>
  <xdr:twoCellAnchor editAs="oneCell">
    <xdr:from>
      <xdr:col>8</xdr:col>
      <xdr:colOff>152400</xdr:colOff>
      <xdr:row>39</xdr:row>
      <xdr:rowOff>114300</xdr:rowOff>
    </xdr:from>
    <xdr:to>
      <xdr:col>14</xdr:col>
      <xdr:colOff>751513</xdr:colOff>
      <xdr:row>43</xdr:row>
      <xdr:rowOff>147829</xdr:rowOff>
    </xdr:to>
    <xdr:pic>
      <xdr:nvPicPr>
        <xdr:cNvPr id="56" name="Grafik 55"/>
        <xdr:cNvPicPr>
          <a:picLocks noChangeAspect="1"/>
        </xdr:cNvPicPr>
      </xdr:nvPicPr>
      <xdr:blipFill>
        <a:blip xmlns:r="http://schemas.openxmlformats.org/officeDocument/2006/relationships" r:embed="rId3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81825" y="7629525"/>
          <a:ext cx="3370888" cy="79552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43</xdr:row>
      <xdr:rowOff>133350</xdr:rowOff>
    </xdr:from>
    <xdr:to>
      <xdr:col>6</xdr:col>
      <xdr:colOff>762000</xdr:colOff>
      <xdr:row>49</xdr:row>
      <xdr:rowOff>123259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62575" y="8058150"/>
          <a:ext cx="942975" cy="1151959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</xdr:colOff>
      <xdr:row>45</xdr:row>
      <xdr:rowOff>76200</xdr:rowOff>
    </xdr:from>
    <xdr:to>
      <xdr:col>16</xdr:col>
      <xdr:colOff>561013</xdr:colOff>
      <xdr:row>49</xdr:row>
      <xdr:rowOff>109729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57950" y="8382000"/>
          <a:ext cx="3370888" cy="795529"/>
        </a:xfrm>
        <a:prstGeom prst="rect">
          <a:avLst/>
        </a:prstGeom>
      </xdr:spPr>
    </xdr:pic>
    <xdr:clientData/>
  </xdr:twoCellAnchor>
  <xdr:twoCellAnchor editAs="oneCell">
    <xdr:from>
      <xdr:col>6</xdr:col>
      <xdr:colOff>38100</xdr:colOff>
      <xdr:row>1</xdr:row>
      <xdr:rowOff>1</xdr:rowOff>
    </xdr:from>
    <xdr:to>
      <xdr:col>8</xdr:col>
      <xdr:colOff>419100</xdr:colOff>
      <xdr:row>2</xdr:row>
      <xdr:rowOff>187148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3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0675" y="295276"/>
          <a:ext cx="1600200" cy="3776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S98"/>
  <sheetViews>
    <sheetView tabSelected="1" topLeftCell="A63" zoomScaleNormal="100" workbookViewId="0">
      <selection activeCell="B81" sqref="B81"/>
    </sheetView>
  </sheetViews>
  <sheetFormatPr baseColWidth="10" defaultRowHeight="15" x14ac:dyDescent="0.25"/>
  <cols>
    <col min="1" max="1" width="23.42578125" customWidth="1"/>
    <col min="2" max="2" width="19.28515625" bestFit="1" customWidth="1"/>
    <col min="5" max="5" width="6" style="99" customWidth="1"/>
    <col min="6" max="6" width="10.5703125" customWidth="1"/>
    <col min="7" max="7" width="16.140625" customWidth="1"/>
    <col min="8" max="8" width="4.42578125" customWidth="1"/>
    <col min="9" max="9" width="6.42578125" customWidth="1"/>
    <col min="10" max="10" width="4" customWidth="1"/>
    <col min="11" max="11" width="9.42578125" customWidth="1"/>
    <col min="12" max="12" width="3.140625" style="99" customWidth="1"/>
    <col min="13" max="13" width="7.5703125" customWidth="1"/>
    <col min="15" max="15" width="7.28515625" customWidth="1"/>
  </cols>
  <sheetData>
    <row r="1" spans="1:19" ht="23.25" thickBot="1" x14ac:dyDescent="0.35">
      <c r="A1" s="72" t="s">
        <v>190</v>
      </c>
      <c r="B1" s="73"/>
      <c r="C1" s="73"/>
      <c r="D1" s="73"/>
      <c r="E1" s="98"/>
      <c r="F1" s="98"/>
      <c r="G1" s="73"/>
      <c r="H1" s="73"/>
      <c r="I1" s="73"/>
      <c r="J1" s="73"/>
      <c r="K1" s="73"/>
      <c r="L1" s="98"/>
      <c r="M1" s="73"/>
      <c r="N1" s="73"/>
      <c r="O1" s="73"/>
      <c r="P1" s="73"/>
      <c r="Q1" s="103"/>
      <c r="R1" s="73"/>
      <c r="S1" s="75"/>
    </row>
    <row r="2" spans="1:19" s="9" customFormat="1" x14ac:dyDescent="0.25">
      <c r="A2" s="74"/>
      <c r="B2" s="75"/>
      <c r="C2" s="75"/>
      <c r="D2" s="75"/>
      <c r="E2" s="75"/>
      <c r="F2" s="75"/>
      <c r="G2" s="69"/>
      <c r="H2" s="70"/>
      <c r="I2" s="70"/>
      <c r="J2" s="70"/>
      <c r="K2" s="70"/>
      <c r="L2" s="70"/>
      <c r="M2" s="70"/>
      <c r="N2" s="70"/>
      <c r="O2" s="71"/>
      <c r="P2" s="75"/>
      <c r="Q2" s="74"/>
      <c r="R2" s="75"/>
      <c r="S2" s="75"/>
    </row>
    <row r="3" spans="1:19" s="9" customFormat="1" x14ac:dyDescent="0.25">
      <c r="A3" s="91" t="s">
        <v>349</v>
      </c>
      <c r="B3" s="75"/>
      <c r="C3" s="75"/>
      <c r="D3" s="75"/>
      <c r="E3" s="75"/>
      <c r="F3" s="75"/>
      <c r="G3" s="65"/>
      <c r="H3" s="66"/>
      <c r="I3" s="66"/>
      <c r="J3" s="66"/>
      <c r="K3" s="66"/>
      <c r="L3" s="66"/>
      <c r="M3" s="115" t="s">
        <v>377</v>
      </c>
      <c r="N3" s="66"/>
      <c r="O3" s="67"/>
      <c r="P3" s="75"/>
      <c r="Q3" s="74"/>
      <c r="R3" s="75"/>
      <c r="S3" s="75"/>
    </row>
    <row r="4" spans="1:19" s="9" customFormat="1" x14ac:dyDescent="0.25">
      <c r="A4" s="74"/>
      <c r="B4" s="75"/>
      <c r="C4" s="75"/>
      <c r="D4" s="75"/>
      <c r="E4" s="75"/>
      <c r="F4" s="75"/>
      <c r="G4" s="112" t="s">
        <v>251</v>
      </c>
      <c r="H4" s="233"/>
      <c r="I4" s="233"/>
      <c r="J4" s="233"/>
      <c r="K4" s="233"/>
      <c r="L4" s="233"/>
      <c r="M4" s="233"/>
      <c r="N4" s="233"/>
      <c r="O4" s="234"/>
      <c r="P4" s="75"/>
      <c r="Q4" s="74"/>
      <c r="R4" s="75"/>
      <c r="S4" s="75"/>
    </row>
    <row r="5" spans="1:19" s="9" customFormat="1" x14ac:dyDescent="0.25">
      <c r="A5" s="76"/>
      <c r="B5" s="77" t="s">
        <v>10</v>
      </c>
      <c r="C5" s="77"/>
      <c r="D5" s="77" t="s">
        <v>11</v>
      </c>
      <c r="E5" s="77">
        <f>SUM(D6:D9)</f>
        <v>50</v>
      </c>
      <c r="F5" s="75"/>
      <c r="G5" s="113" t="s">
        <v>252</v>
      </c>
      <c r="H5" s="227" t="str">
        <f>IF(F14,VLOOKUP(F14,Movement!A4:B34,2,FALSE),FALSE)</f>
        <v>5"/4"/2.5"/1.5"</v>
      </c>
      <c r="I5" s="227"/>
      <c r="J5" s="227"/>
      <c r="K5" s="227"/>
      <c r="L5" s="208"/>
      <c r="M5" s="101"/>
      <c r="N5" s="89" t="s">
        <v>318</v>
      </c>
      <c r="O5" s="84">
        <f>INDEX(Tabellen!$AI$4:$AV$25,MATCH(B7,Tabellen!$AI$4:$AI$25,0),12)+$B$15+INDEX(Tabellen!$AZ$4:$BH$18,MATCH(B8,Tabellen!$AZ$4:$AZ$18,0),8)</f>
        <v>10</v>
      </c>
      <c r="P5" s="75"/>
      <c r="Q5" s="74"/>
      <c r="R5" s="75"/>
      <c r="S5" s="75"/>
    </row>
    <row r="6" spans="1:19" s="9" customFormat="1" x14ac:dyDescent="0.25">
      <c r="A6" s="78" t="s">
        <v>9</v>
      </c>
      <c r="B6" s="196" t="s">
        <v>37</v>
      </c>
      <c r="C6" s="75"/>
      <c r="D6" s="73">
        <f>VLOOKUP(B6,Tabellen!A5:B9,2,FALSE)</f>
        <v>50</v>
      </c>
      <c r="E6" s="98"/>
      <c r="F6" s="75"/>
      <c r="G6" s="114" t="s">
        <v>317</v>
      </c>
      <c r="H6" s="85">
        <f>INDEX(Tabellen!$AI$4:$AV$25,MATCH(B7,Tabellen!$AI$4:$AI$25,0),9)+$B$17+INDEX(Tabellen!$AZ$4:$BH$18,MATCH(B8,Tabellen!$AZ$4:$AZ$18,0),6)</f>
        <v>7</v>
      </c>
      <c r="I6" s="85"/>
      <c r="J6" s="87" t="s">
        <v>315</v>
      </c>
      <c r="K6" s="85"/>
      <c r="L6" s="85"/>
      <c r="M6" s="88">
        <f>B18</f>
        <v>0</v>
      </c>
      <c r="N6" s="87" t="s">
        <v>316</v>
      </c>
      <c r="O6" s="90">
        <f>IF(B19&lt;=2,(INDEX(Tabellen!$AI$4:$AV$25,MATCH(B7,Tabellen!$AI$4:$AI$25,0),10)+$B$19),"1/2")</f>
        <v>0</v>
      </c>
      <c r="P6" s="75"/>
      <c r="Q6" s="74"/>
      <c r="R6" s="75"/>
      <c r="S6" s="75"/>
    </row>
    <row r="7" spans="1:19" s="9" customFormat="1" x14ac:dyDescent="0.25">
      <c r="A7" s="78" t="s">
        <v>66</v>
      </c>
      <c r="B7" s="196" t="s">
        <v>12</v>
      </c>
      <c r="C7" s="75"/>
      <c r="D7" s="73">
        <f>VLOOKUP(B7,Tabellen!$AI$4:$AL$25,2,FALSE)</f>
        <v>0</v>
      </c>
      <c r="E7" s="98"/>
      <c r="F7" s="75"/>
      <c r="G7" s="113" t="s">
        <v>319</v>
      </c>
      <c r="H7" s="118">
        <f>INDEX(Tabellen!$AI$4:$AV$25,MATCH(B7,Tabellen!$AI$4:$AI$25,0),14)+$B$21+INDEX(Tabellen!$AZ$4:$BH$18,MATCH(B8,Tabellen!$AZ$4:$AZ$18,0),3)</f>
        <v>5</v>
      </c>
      <c r="I7" s="118"/>
      <c r="J7" s="89" t="s">
        <v>320</v>
      </c>
      <c r="K7" s="118"/>
      <c r="L7" s="124"/>
      <c r="M7" s="118">
        <f>INDEX(Tabellen!$AI$4:$AV$25,MATCH(B7,Tabellen!$AI$4:$AI$25,0),11)+$B$23</f>
        <v>10</v>
      </c>
      <c r="N7" s="89" t="s">
        <v>321</v>
      </c>
      <c r="O7" s="84">
        <f>INDEX(Tabellen!$AI$4:$AV$25,MATCH(B7,Tabellen!$AI$4:$AI$25,0),13)+$B$24+INDEX(Tabellen!$AZ$4:$BH$18,MATCH(B8,Tabellen!$AZ$4:$AZ$18,0),9)</f>
        <v>10</v>
      </c>
      <c r="P7" s="75"/>
      <c r="Q7" s="74"/>
      <c r="R7" s="75"/>
      <c r="S7" s="75"/>
    </row>
    <row r="8" spans="1:19" s="9" customFormat="1" x14ac:dyDescent="0.25">
      <c r="A8" s="78" t="s">
        <v>385</v>
      </c>
      <c r="B8" s="196" t="s">
        <v>243</v>
      </c>
      <c r="C8" s="75"/>
      <c r="D8" s="98">
        <f>VLOOKUP(B8,Tabellen!AZ4:BA18,2,FALSE)</f>
        <v>0</v>
      </c>
      <c r="E8" s="98"/>
      <c r="F8" s="75"/>
      <c r="G8" s="65"/>
      <c r="H8" s="66"/>
      <c r="I8" s="66"/>
      <c r="J8" s="66"/>
      <c r="K8" s="66"/>
      <c r="L8" s="66"/>
      <c r="M8" s="66"/>
      <c r="N8" s="66"/>
      <c r="O8" s="67"/>
      <c r="P8" s="75"/>
      <c r="Q8" s="74"/>
      <c r="R8" s="75"/>
      <c r="S8" s="75"/>
    </row>
    <row r="9" spans="1:19" s="9" customFormat="1" x14ac:dyDescent="0.25">
      <c r="A9" s="78" t="s">
        <v>443</v>
      </c>
      <c r="B9" s="196">
        <v>0</v>
      </c>
      <c r="C9" s="75"/>
      <c r="D9" s="98">
        <f>B9*10</f>
        <v>0</v>
      </c>
      <c r="E9" s="98"/>
      <c r="F9" s="75"/>
      <c r="G9" s="112" t="s">
        <v>323</v>
      </c>
      <c r="H9" s="94" t="s">
        <v>324</v>
      </c>
      <c r="I9" s="94"/>
      <c r="J9" s="94"/>
      <c r="K9" s="94" t="s">
        <v>325</v>
      </c>
      <c r="L9" s="94"/>
      <c r="M9" s="102"/>
      <c r="N9" s="94" t="s">
        <v>326</v>
      </c>
      <c r="O9" s="95"/>
      <c r="P9" s="75"/>
      <c r="Q9" s="74"/>
      <c r="R9" s="75"/>
      <c r="S9" s="75"/>
    </row>
    <row r="10" spans="1:19" s="9" customFormat="1" x14ac:dyDescent="0.25">
      <c r="A10" s="74"/>
      <c r="B10" s="75"/>
      <c r="C10" s="75"/>
      <c r="D10" s="75"/>
      <c r="E10" s="75"/>
      <c r="F10" s="75"/>
      <c r="G10" s="97" t="str">
        <f>B29</f>
        <v>None</v>
      </c>
      <c r="H10" s="101" t="str">
        <f>IF(B29="None","", C29+INDEX(Weapons,MATCH(B29,WeaponMenu,0),5)&amp;INDEX(Weapons,MATCH(B29,WeaponMenu,0),6))</f>
        <v/>
      </c>
      <c r="I10" s="206" t="str">
        <f>IF(B29="None","",IF(INDEX(Weapons,MATCH(B29,WeaponMenu,0),7)+P29&amp;INDEX(Weapons,MATCH(B29,WeaponMenu,0),8)&gt;0,"+"&amp;(INDEX(Weapons,MATCH(B29,WeaponMenu,0),7)+P29&amp;INDEX(Weapons,MATCH(B29,WeaponMenu,0),8))))</f>
        <v/>
      </c>
      <c r="J10" s="104" t="str">
        <f>IF(G10="None"," ",(IF(INDEX(Weapons,MATCH(B29,WeaponMenu,0),10)=0,INDEX(Tabellen!$AI$4:$AV$25,MATCH($B$7,RaceMod,0),4),INDEX(Tabellen!$AI$4:$AV$25,MATCH($B$7,RaceMod,0),6))+F29))</f>
        <v xml:space="preserve"> </v>
      </c>
      <c r="K10" s="206">
        <f>INDEX(Weapons,MATCH(B29,WeaponMenu,0),2)</f>
        <v>0</v>
      </c>
      <c r="L10" s="208" t="str">
        <f>IF(G10="None"," ",IF(INDEX(Weapons,MATCH(B29,WeaponMenu,0),3)+S29=1," ",IF(INDEX(Weapons,MATCH(B29,WeaponMenu,0),3)+S29=2,"x2 ",IF(INDEX(Weapons,MATCH(B29,WeaponMenu,0),3)+S29&gt;=1,("x"&amp;INDEX(Weapons,MATCH(B29,WeaponMenu,0),3)+S29)," "))))</f>
        <v xml:space="preserve"> </v>
      </c>
      <c r="M10" s="104" t="str">
        <f>IF(G10="None"," ",(IF(INDEX(Weapons,MATCH(B29,WeaponMenu,0),10)=0,INDEX(Tabellen!$AI$4:$AV$25,MATCH($B$7,RaceMod,0),5),INDEX(Tabellen!$AI$4:$AV$25,MATCH($B$7,RaceMod,0),7))+Q29))</f>
        <v xml:space="preserve"> </v>
      </c>
      <c r="N10" s="206" t="str">
        <f>IF(G10="None"," ",(IF(INDEX(Weapons,MATCH(B29,WeaponMenu,0),10)&gt;0,CONCATENATE("-2 per ",INDEX(Weapons,MATCH(B29,WeaponMenu,0),10)+INDEX(Tabellen!$AI$4:$AV$25,MATCH($B$7,RaceMod,0),8)+$R$29+INDEX(Tabellen!$AZ$4:$BH$18,MATCH(B8,Tabellen!$AZ$4:$AZ$18,0),5),""""),"N/A")))</f>
        <v xml:space="preserve"> </v>
      </c>
      <c r="O10" s="68"/>
      <c r="P10" s="75"/>
      <c r="Q10" s="74"/>
      <c r="R10" s="75"/>
      <c r="S10" s="75"/>
    </row>
    <row r="11" spans="1:19" s="9" customFormat="1" x14ac:dyDescent="0.25">
      <c r="A11" s="80"/>
      <c r="B11" s="80"/>
      <c r="C11" s="80"/>
      <c r="D11" s="80"/>
      <c r="E11" s="80"/>
      <c r="F11" s="75"/>
      <c r="G11" s="133" t="str">
        <f>B30</f>
        <v>None</v>
      </c>
      <c r="H11" s="134" t="str">
        <f>IF(B30="None","", C30+INDEX(Weapons,MATCH(B30,WeaponMenu,0),5)&amp;INDEX(Weapons,MATCH(B30,WeaponMenu,0),6))</f>
        <v/>
      </c>
      <c r="I11" s="134" t="str">
        <f>IF(B30="None","",IF(INDEX(Weapons,MATCH(B30,WeaponMenu,0),7)+P30&amp;INDEX(Weapons,MATCH(B30,WeaponMenu,0),8)&gt;0,"+"&amp;(INDEX(Weapons,MATCH(B30,WeaponMenu,0),7)+P30&amp;INDEX(Weapons,MATCH(B30,WeaponMenu,0),8))))</f>
        <v/>
      </c>
      <c r="J11" s="117" t="str">
        <f>IF(G11="None"," ",(IF(INDEX(Weapons,MATCH(B30,WeaponMenu,0),10)=0,INDEX(Tabellen!$AI$4:$AV$25,MATCH($B$7,RaceMod,0),4),INDEX(Tabellen!$AI$4:$AV$25,MATCH($B$7,RaceMod,0),6))+F30))</f>
        <v xml:space="preserve"> </v>
      </c>
      <c r="K11" s="135">
        <f>INDEX(Weapons,MATCH(B30,WeaponMenu,0),2)</f>
        <v>0</v>
      </c>
      <c r="L11" s="135" t="str">
        <f>IF(G11="None"," ",IF(INDEX(Weapons,MATCH(B30,WeaponMenu,0),3)+S30=1," ",IF(INDEX(Weapons,MATCH(B30,WeaponMenu,0),3)+S30=2,"x2 ",IF(INDEX(Weapons,MATCH(B30,WeaponMenu,0),3)+S30&gt;=1,("x"&amp;INDEX(Weapons,MATCH(B30,WeaponMenu,0),3)+S30)," "))))</f>
        <v xml:space="preserve"> </v>
      </c>
      <c r="M11" s="160" t="str">
        <f>IF(G11="None"," ",(IF(INDEX(Weapons,MATCH(B30,WeaponMenu,0),10)=0,INDEX(Tabellen!$AI$4:$AV$25,MATCH($B$7,RaceMod,0),5),INDEX(Tabellen!$AI$4:$AV$25,MATCH($B$7,RaceMod,0),7))+Q30))</f>
        <v xml:space="preserve"> </v>
      </c>
      <c r="N11" s="135" t="str">
        <f>IF(G11="None"," ",(IF(INDEX(Weapons,MATCH(B30,WeaponMenu,0),10)&gt;0,CONCATENATE("-2 per ",INDEX(Weapons,MATCH(B30,WeaponMenu,0),10)+INDEX(Tabellen!$AI$4:$AV$25,MATCH($B$7,RaceMod,0),8)+$R$30+INDEX(Tabellen!$AZ$4:$BH$18,MATCH(B8,Tabellen!$AZ$4:$AZ$18,0),5),""""),"N/A")))</f>
        <v xml:space="preserve"> </v>
      </c>
      <c r="O11" s="111"/>
      <c r="P11" s="75"/>
      <c r="Q11" s="74"/>
      <c r="R11" s="75"/>
      <c r="S11" s="75"/>
    </row>
    <row r="12" spans="1:19" s="9" customFormat="1" x14ac:dyDescent="0.25">
      <c r="A12" s="92" t="s">
        <v>487</v>
      </c>
      <c r="B12" s="75"/>
      <c r="C12" s="75"/>
      <c r="D12" s="75"/>
      <c r="E12" s="75"/>
      <c r="F12" s="75"/>
      <c r="G12" s="136" t="str">
        <f>B31</f>
        <v>None</v>
      </c>
      <c r="H12" s="101" t="str">
        <f>IF(B31="None","", C31+INDEX(Weapons,MATCH(B31,WeaponMenu,0),5)&amp;INDEX(Weapons,MATCH(B31,WeaponMenu,0),6))</f>
        <v/>
      </c>
      <c r="I12" s="101" t="str">
        <f>IF(B31="None","",IF(INDEX(Weapons,MATCH(B31,WeaponMenu,0),7)+P31&amp;INDEX(Weapons,MATCH(B31,WeaponMenu,0),8)&gt;0,"+"&amp;(INDEX(Weapons,MATCH(B31,WeaponMenu,0),7)+P31&amp;INDEX(Weapons,MATCH(B31,WeaponMenu,0),8))))</f>
        <v/>
      </c>
      <c r="J12" s="104" t="str">
        <f>IF(G12="None"," ",(IF(INDEX(Weapons,MATCH(B31,WeaponMenu,0),10)=0,INDEX(Tabellen!$AI$4:$AV$25,MATCH($B$7,RaceMod,0),4),INDEX(Tabellen!$AI$4:$AV$25,MATCH($B$7,RaceMod,0),6))+F31))</f>
        <v xml:space="preserve"> </v>
      </c>
      <c r="K12" s="206">
        <f>INDEX(Weapons,MATCH(B31,WeaponMenu,0),2)</f>
        <v>0</v>
      </c>
      <c r="L12" s="208" t="str">
        <f>IF(G12="None"," ",IF(INDEX(Weapons,MATCH(B31,WeaponMenu,0),3)+S31=1," ",IF(INDEX(Weapons,MATCH(B31,WeaponMenu,0),3)+S31=2,"x2 ",IF(INDEX(Weapons,MATCH(B31,WeaponMenu,0),3)+S31&gt;=1,("x"&amp;INDEX(Weapons,MATCH(B31,WeaponMenu,0),3)+S31)," "))))</f>
        <v xml:space="preserve"> </v>
      </c>
      <c r="M12" s="104" t="str">
        <f>IF(G12="None"," ",(IF(INDEX(Weapons,MATCH(B31,WeaponMenu,0),10)=0,INDEX(Tabellen!$AI$4:$AV$25,MATCH($B$7,RaceMod,0),5),INDEX(Tabellen!$AI$4:$AV$25,MATCH($B$7,RaceMod,0),7))+Q31))</f>
        <v xml:space="preserve"> </v>
      </c>
      <c r="N12" s="206" t="str">
        <f>IF(G12="None"," ",(IF(INDEX(Weapons,MATCH(B31,WeaponMenu,0),10)&gt;0,CONCATENATE("-2 per ",INDEX(Weapons,MATCH(B31,WeaponMenu,0),10)+INDEX(Tabellen!$AI$4:$AV$25,MATCH($B$7,RaceMod,0),8)+$R$31+INDEX(Tabellen!$AZ$4:$BH$18,MATCH(B8,Tabellen!$AZ$4:$AZ$18,0),5),""""),"N/A")))</f>
        <v xml:space="preserve"> </v>
      </c>
      <c r="O12" s="137"/>
      <c r="P12" s="75"/>
      <c r="Q12" s="75"/>
      <c r="R12" s="75"/>
      <c r="S12" s="75"/>
    </row>
    <row r="13" spans="1:19" x14ac:dyDescent="0.25">
      <c r="A13" s="76"/>
      <c r="B13" s="77" t="s">
        <v>10</v>
      </c>
      <c r="C13" s="77"/>
      <c r="D13" s="77" t="s">
        <v>11</v>
      </c>
      <c r="E13" s="77">
        <f>SUM(D14:D24)</f>
        <v>0</v>
      </c>
      <c r="F13" s="73"/>
      <c r="G13" s="133" t="str">
        <f>B32</f>
        <v>None</v>
      </c>
      <c r="H13" s="134" t="str">
        <f>IF(B32="None","", C32+INDEX(Weapons,MATCH(B32,WeaponMenu,0),5)&amp;INDEX(Weapons,MATCH(B32,WeaponMenu,0),6))</f>
        <v/>
      </c>
      <c r="I13" s="134" t="str">
        <f>IF(B31="None","",IF(INDEX(Weapons,MATCH(B32,WeaponMenu,0),7)+P32&amp;INDEX(Weapons,MATCH(B32,WeaponMenu,0),8)&gt;0,"+"&amp;(INDEX(Weapons,MATCH(B32,WeaponMenu,0),7)+P32&amp;INDEX(Weapons,MATCH(B32,WeaponMenu,0),8))))</f>
        <v/>
      </c>
      <c r="J13" s="117" t="str">
        <f>IF(G13="None"," ",(IF(INDEX(Weapons,MATCH(B32,WeaponMenu,0),10)=0,INDEX(Tabellen!$AI$4:$AV$25,MATCH($B$7,RaceMod,0),4),INDEX(Tabellen!$AI$4:$AV$25,MATCH($B$7,RaceMod,0),6))+F32))</f>
        <v xml:space="preserve"> </v>
      </c>
      <c r="K13" s="135">
        <f>INDEX(Weapons,MATCH(B32,WeaponMenu,0),2)</f>
        <v>0</v>
      </c>
      <c r="L13" s="135" t="str">
        <f>IF(G13="None"," ",IF(INDEX(Weapons,MATCH(B32,WeaponMenu,0),3)+S32=1," ",IF(INDEX(Weapons,MATCH(B32,WeaponMenu,0),3)+S32=2,"x2 ",IF(INDEX(Weapons,MATCH(B32,WeaponMenu,0),3)+S32&gt;=1,("x"&amp;INDEX(Weapons,MATCH(B32,WeaponMenu,0),3)+S32)," "))))</f>
        <v xml:space="preserve"> </v>
      </c>
      <c r="M13" s="160" t="str">
        <f>IF(G13="None"," ",(IF(INDEX(Weapons,MATCH(B32,WeaponMenu,0),10)=0,INDEX(Tabellen!$AI$4:$AV$25,MATCH($B$7,RaceMod,0),5),INDEX(Tabellen!$AI$4:$AV$25,MATCH($B$7,RaceMod,0),7))+Q32))</f>
        <v xml:space="preserve"> </v>
      </c>
      <c r="N13" s="135" t="str">
        <f>IF(G13="None"," ",(IF(INDEX(Weapons,MATCH(B32,WeaponMenu,0),10)&gt;0,CONCATENATE("-2 per ",INDEX(Weapons,MATCH(B32,WeaponMenu,0),10)+INDEX(Tabellen!$AI$4:$AV$25,MATCH($B$7,RaceMod,0),8)+$R$32+INDEX(Tabellen!$AZ$4:$BH$18,MATCH(B8,Tabellen!$AZ$4:$AZ$18,0),5),""""),"N/A")))</f>
        <v xml:space="preserve"> </v>
      </c>
      <c r="O13" s="111"/>
      <c r="P13" s="73"/>
      <c r="Q13" s="73"/>
      <c r="R13" s="73"/>
      <c r="S13" s="75"/>
    </row>
    <row r="14" spans="1:19" x14ac:dyDescent="0.25">
      <c r="A14" s="86" t="s">
        <v>29</v>
      </c>
      <c r="B14" s="196">
        <v>5</v>
      </c>
      <c r="C14" s="73"/>
      <c r="D14" s="73">
        <f>INDEX(Tabellen!$R$3:$V$28,MATCH(B14,Tabellen!$R$3:$R$28,0),MATCH('Combatant Calculator'!$B$6,Tabellen!$S$3:$V$3,0)+1)</f>
        <v>0</v>
      </c>
      <c r="E14" s="98"/>
      <c r="F14" s="184">
        <f>INDEX(Tabellen!$AI$4:$AV$25,MATCH(B7,Tabellen!$AI$4:$AI$25,0),3)+$B$14+INDEX(Tabellen!$AZ$4:$BH$18,MATCH(B8,Tabellen!$AZ$4:$AZ$18,0),7)</f>
        <v>5</v>
      </c>
      <c r="G14" s="65"/>
      <c r="H14" s="93"/>
      <c r="I14" s="93"/>
      <c r="J14" s="93"/>
      <c r="K14" s="93"/>
      <c r="L14" s="93"/>
      <c r="M14" s="93"/>
      <c r="N14" s="93"/>
      <c r="O14" s="138"/>
      <c r="P14" s="73"/>
      <c r="Q14" s="73"/>
      <c r="R14" s="73"/>
      <c r="S14" s="75"/>
    </row>
    <row r="15" spans="1:19" x14ac:dyDescent="0.25">
      <c r="A15" s="86" t="s">
        <v>4</v>
      </c>
      <c r="B15" s="196">
        <v>10</v>
      </c>
      <c r="C15" s="73"/>
      <c r="D15" s="73">
        <f>INDEX(Tabellen!$AC$3:$AG$11,MATCH(B15,Tabellen!$AC$3:$AC$11,0),MATCH('Combatant Calculator'!$B$6,Tabellen!$AD$3:$AG$3,0)+1)</f>
        <v>0</v>
      </c>
      <c r="E15" s="98"/>
      <c r="F15" s="73"/>
      <c r="G15" s="230" t="s">
        <v>408</v>
      </c>
      <c r="H15" s="231"/>
      <c r="I15" s="231"/>
      <c r="J15" s="231"/>
      <c r="K15" s="231"/>
      <c r="L15" s="231"/>
      <c r="M15" s="231"/>
      <c r="N15" s="231"/>
      <c r="O15" s="232"/>
      <c r="P15" s="73"/>
      <c r="Q15" s="73"/>
      <c r="R15" s="73"/>
      <c r="S15" s="75"/>
    </row>
    <row r="16" spans="1:19" x14ac:dyDescent="0.25">
      <c r="A16" s="73"/>
      <c r="B16" s="73"/>
      <c r="C16" s="73"/>
      <c r="D16" s="73"/>
      <c r="E16" s="98"/>
      <c r="F16" s="73"/>
      <c r="G16" s="230"/>
      <c r="H16" s="231"/>
      <c r="I16" s="231"/>
      <c r="J16" s="231"/>
      <c r="K16" s="231"/>
      <c r="L16" s="231"/>
      <c r="M16" s="231"/>
      <c r="N16" s="231"/>
      <c r="O16" s="232"/>
      <c r="P16" s="73"/>
      <c r="Q16" s="73"/>
      <c r="R16" s="73"/>
      <c r="S16" s="75"/>
    </row>
    <row r="17" spans="1:19" x14ac:dyDescent="0.25">
      <c r="A17" s="86" t="s">
        <v>0</v>
      </c>
      <c r="B17" s="196">
        <v>7</v>
      </c>
      <c r="C17" s="73"/>
      <c r="D17" s="73">
        <f>INDEX(Tabellen!$R$33:$V$46,MATCH(B17,Tabellen!$R$33:$R$46,0),MATCH('Combatant Calculator'!$B$6,Tabellen!$S$33:$V$33,0)+1)</f>
        <v>0</v>
      </c>
      <c r="E17" s="98"/>
      <c r="F17" s="73"/>
      <c r="G17" s="230"/>
      <c r="H17" s="231"/>
      <c r="I17" s="231"/>
      <c r="J17" s="231"/>
      <c r="K17" s="231"/>
      <c r="L17" s="231"/>
      <c r="M17" s="231"/>
      <c r="N17" s="231"/>
      <c r="O17" s="232"/>
      <c r="P17" s="73"/>
      <c r="Q17" s="73"/>
      <c r="R17" s="73"/>
      <c r="S17" s="75"/>
    </row>
    <row r="18" spans="1:19" x14ac:dyDescent="0.25">
      <c r="A18" s="86" t="s">
        <v>2</v>
      </c>
      <c r="B18" s="197">
        <v>0</v>
      </c>
      <c r="C18" s="73"/>
      <c r="D18" s="73">
        <f>VLOOKUP(B18,Tabellen!J32:K37,2,FALSE)</f>
        <v>0</v>
      </c>
      <c r="E18" s="98"/>
      <c r="F18" s="73"/>
      <c r="G18" s="230"/>
      <c r="H18" s="231"/>
      <c r="I18" s="231"/>
      <c r="J18" s="231"/>
      <c r="K18" s="231"/>
      <c r="L18" s="231"/>
      <c r="M18" s="231"/>
      <c r="N18" s="231"/>
      <c r="O18" s="232"/>
      <c r="P18" s="73"/>
      <c r="Q18" s="73"/>
      <c r="R18" s="73"/>
      <c r="S18" s="75"/>
    </row>
    <row r="19" spans="1:19" x14ac:dyDescent="0.25">
      <c r="A19" s="86" t="s">
        <v>3</v>
      </c>
      <c r="B19" s="198">
        <v>0</v>
      </c>
      <c r="C19" s="73"/>
      <c r="D19" s="73">
        <f>VLOOKUP(B19,Tabellen!J41:K46,2,FALSE)</f>
        <v>0</v>
      </c>
      <c r="E19" s="98"/>
      <c r="F19" s="73"/>
      <c r="G19" s="59"/>
      <c r="H19" s="55"/>
      <c r="I19" s="55"/>
      <c r="J19" s="55"/>
      <c r="K19" s="55"/>
      <c r="L19" s="55"/>
      <c r="M19" s="55"/>
      <c r="N19" s="55"/>
      <c r="O19" s="60"/>
      <c r="P19" s="73"/>
      <c r="Q19" s="73"/>
      <c r="R19" s="73"/>
      <c r="S19" s="75"/>
    </row>
    <row r="20" spans="1:19" x14ac:dyDescent="0.25">
      <c r="A20" s="73"/>
      <c r="B20" s="73"/>
      <c r="C20" s="73"/>
      <c r="D20" s="73"/>
      <c r="E20" s="98"/>
      <c r="F20" s="73"/>
      <c r="G20" s="132" t="s">
        <v>340</v>
      </c>
      <c r="H20" s="125"/>
      <c r="I20" s="125"/>
      <c r="J20" s="125"/>
      <c r="K20" s="125"/>
      <c r="L20" s="125"/>
      <c r="M20" s="125"/>
      <c r="N20" s="125"/>
      <c r="O20" s="130" t="str">
        <f>IF(B54="0""","No","Yes")</f>
        <v>No</v>
      </c>
      <c r="P20" s="73"/>
      <c r="Q20" s="73"/>
      <c r="R20" s="73"/>
      <c r="S20" s="75"/>
    </row>
    <row r="21" spans="1:19" x14ac:dyDescent="0.25">
      <c r="A21" s="86" t="s">
        <v>30</v>
      </c>
      <c r="B21" s="199">
        <v>5</v>
      </c>
      <c r="C21" s="73"/>
      <c r="D21" s="73">
        <f>INDEX(Tabellen!$R$51:$V$399,MATCH(B21,Tabellen!$R$51:$R$399,0),MATCH($B$6,Tabellen!$S$51:$V$51,0)+1)</f>
        <v>0</v>
      </c>
      <c r="E21" s="98"/>
      <c r="F21" s="185">
        <f>H7/2</f>
        <v>2.5</v>
      </c>
      <c r="G21" s="136" t="s">
        <v>4</v>
      </c>
      <c r="H21" s="129">
        <f>B55</f>
        <v>0</v>
      </c>
      <c r="I21" s="106"/>
      <c r="J21" s="106" t="s">
        <v>338</v>
      </c>
      <c r="K21" s="106"/>
      <c r="L21" s="106"/>
      <c r="M21" s="106"/>
      <c r="N21" s="141">
        <f>B56</f>
        <v>0</v>
      </c>
      <c r="O21" s="137"/>
      <c r="P21" s="73"/>
      <c r="Q21" s="73"/>
      <c r="R21" s="73"/>
      <c r="S21" s="75"/>
    </row>
    <row r="22" spans="1:19" x14ac:dyDescent="0.25">
      <c r="A22" s="73"/>
      <c r="B22" s="73"/>
      <c r="C22" s="73"/>
      <c r="D22" s="73"/>
      <c r="E22" s="98"/>
      <c r="F22" s="73"/>
      <c r="G22" s="109" t="s">
        <v>337</v>
      </c>
      <c r="H22" s="119">
        <f>B57</f>
        <v>0</v>
      </c>
      <c r="I22" s="110"/>
      <c r="J22" s="110" t="s">
        <v>0</v>
      </c>
      <c r="K22" s="110"/>
      <c r="L22" s="110"/>
      <c r="M22" s="110"/>
      <c r="N22" s="120">
        <f>B58</f>
        <v>0</v>
      </c>
      <c r="O22" s="111"/>
      <c r="P22" s="73"/>
      <c r="Q22" s="73"/>
      <c r="R22" s="73"/>
      <c r="S22" s="75"/>
    </row>
    <row r="23" spans="1:19" x14ac:dyDescent="0.25">
      <c r="A23" s="86" t="s">
        <v>31</v>
      </c>
      <c r="B23" s="199">
        <v>10</v>
      </c>
      <c r="C23" s="73"/>
      <c r="D23" s="73">
        <f>INDEX(Tabellen!$AC$15:$AG$25,MATCH(B23,Tabellen!$AC$15:$AC$25,0),MATCH('Combatant Calculator'!$B$6,Tabellen!$AD$15:$AG$15,0)+1)</f>
        <v>0</v>
      </c>
      <c r="E23" s="98"/>
      <c r="F23" s="73"/>
      <c r="G23" s="136" t="s">
        <v>31</v>
      </c>
      <c r="H23" s="129">
        <f>B59</f>
        <v>0</v>
      </c>
      <c r="I23" s="106"/>
      <c r="J23" s="106" t="s">
        <v>339</v>
      </c>
      <c r="K23" s="106"/>
      <c r="L23" s="106"/>
      <c r="M23" s="106"/>
      <c r="N23" s="142" t="str">
        <f>B54</f>
        <v>0"</v>
      </c>
      <c r="O23" s="137"/>
      <c r="P23" s="73"/>
      <c r="Q23" s="73"/>
      <c r="R23" s="73"/>
      <c r="S23" s="75"/>
    </row>
    <row r="24" spans="1:19" x14ac:dyDescent="0.25">
      <c r="A24" s="86" t="s">
        <v>32</v>
      </c>
      <c r="B24" s="199">
        <v>10</v>
      </c>
      <c r="C24" s="73"/>
      <c r="D24" s="73">
        <f>VLOOKUP(B24,Tabellen!J50:K56,2,FALSE)</f>
        <v>0</v>
      </c>
      <c r="E24" s="98"/>
      <c r="F24" s="73"/>
      <c r="G24" s="143"/>
      <c r="H24" s="122"/>
      <c r="I24" s="122"/>
      <c r="J24" s="122"/>
      <c r="K24" s="122"/>
      <c r="L24" s="122"/>
      <c r="M24" s="122"/>
      <c r="N24" s="123"/>
      <c r="O24" s="121"/>
      <c r="P24" s="73"/>
      <c r="Q24" s="73"/>
      <c r="R24" s="73"/>
      <c r="S24" s="75"/>
    </row>
    <row r="25" spans="1:19" x14ac:dyDescent="0.25">
      <c r="A25" s="73"/>
      <c r="B25" s="73"/>
      <c r="C25" s="73"/>
      <c r="D25" s="73"/>
      <c r="E25" s="98"/>
      <c r="F25" s="73"/>
      <c r="G25" s="132" t="s">
        <v>409</v>
      </c>
      <c r="H25" s="94" t="s">
        <v>341</v>
      </c>
      <c r="I25" s="131">
        <f>INDEX(Tabellen!$AI$4:$AX$25,MATCH(B7,Tabellen!$AI$4:$AI$25,0),15)+$B$71+INDEX(Tabellen!$AZ$4:$BH$18,MATCH(B8,Tabellen!$AZ$4:$AZ$18,0),4)</f>
        <v>0</v>
      </c>
      <c r="J25" s="94" t="s">
        <v>342</v>
      </c>
      <c r="K25" s="126"/>
      <c r="L25" s="126"/>
      <c r="M25" s="127">
        <f>INDEX(Tabellen!$AI$4:$AX$25,MATCH(B7,Tabellen!$AI$4:$AI$25,0),16)+$F$72</f>
        <v>0</v>
      </c>
      <c r="N25" s="128"/>
      <c r="O25" s="130" t="str">
        <f>IF(B64="none","No","Yes")</f>
        <v>No</v>
      </c>
      <c r="P25" s="73"/>
      <c r="Q25" s="73"/>
      <c r="R25" s="73"/>
      <c r="S25" s="75"/>
    </row>
    <row r="26" spans="1:19" x14ac:dyDescent="0.25">
      <c r="A26" s="73"/>
      <c r="B26" s="73"/>
      <c r="C26" s="73"/>
      <c r="D26" s="73"/>
      <c r="E26" s="98"/>
      <c r="F26" s="73"/>
      <c r="G26" s="144" t="str">
        <f>IF($B64="none", " ", IF($B$64="Level 1","Level 1", IF($B$64="Levels 1-2","Level 1",  IF($B$64="Levels 1-3","Level 1",  IF($B$64="Levels 1-4","Level 1",  IF($B$64="Levels 1-5","Level 1", " "))))))&amp;IF(B65=0," ","  (" &amp;B65  &amp;")")</f>
        <v xml:space="preserve">  </v>
      </c>
      <c r="H26" s="225"/>
      <c r="I26" s="235" t="s">
        <v>410</v>
      </c>
      <c r="J26" s="235"/>
      <c r="K26" s="235"/>
      <c r="L26" s="235"/>
      <c r="M26" s="235"/>
      <c r="N26" s="235"/>
      <c r="O26" s="236"/>
      <c r="P26" s="73"/>
      <c r="Q26" s="73"/>
      <c r="R26" s="73"/>
      <c r="S26" s="75"/>
    </row>
    <row r="27" spans="1:19" x14ac:dyDescent="0.25">
      <c r="A27" s="96" t="s">
        <v>351</v>
      </c>
      <c r="B27" s="73"/>
      <c r="C27" s="73"/>
      <c r="D27" s="73"/>
      <c r="E27" s="98"/>
      <c r="F27" s="73"/>
      <c r="G27" s="145" t="str">
        <f>IF($B64="none", " ", IF($B$64="Level 1"," ", IF($B$64="Levels 1-2","Level 2",  IF($B$64="Levels 1-3","Level 2",  IF($B$64="Levels 1-4","Level 2",  IF($B$64="Levels 1-5","Level 2", " "))))))&amp;IF(B66=0," ","  (" &amp;B66  &amp;")")</f>
        <v xml:space="preserve">  </v>
      </c>
      <c r="H27" s="226"/>
      <c r="I27" s="237" t="s">
        <v>410</v>
      </c>
      <c r="J27" s="237"/>
      <c r="K27" s="237"/>
      <c r="L27" s="237"/>
      <c r="M27" s="237"/>
      <c r="N27" s="237"/>
      <c r="O27" s="238"/>
      <c r="P27" s="73"/>
      <c r="Q27" s="73"/>
      <c r="R27" s="73"/>
      <c r="S27" s="75"/>
    </row>
    <row r="28" spans="1:19" x14ac:dyDescent="0.25">
      <c r="A28" s="76"/>
      <c r="B28" s="77" t="s">
        <v>10</v>
      </c>
      <c r="C28" s="189" t="s">
        <v>327</v>
      </c>
      <c r="D28" s="77" t="s">
        <v>11</v>
      </c>
      <c r="E28" s="77">
        <f>SUM(D29:D34)</f>
        <v>0</v>
      </c>
      <c r="F28" s="186" t="s">
        <v>329</v>
      </c>
      <c r="G28" s="144" t="str">
        <f>IF($B64="none", " ", IF($B$64="Level 1"," ", IF($B$64="Levels 1-2"," ",  IF($B$64="Levels 1-3","Level 3",  IF($B$64="Levels 1-4","Level 3",  IF($B$64="Levels 1-5","Level 3", " "))))))&amp;IF(B67=0," ","  (" &amp;B67  &amp;")")</f>
        <v xml:space="preserve">  </v>
      </c>
      <c r="H28" s="225"/>
      <c r="I28" s="235" t="s">
        <v>410</v>
      </c>
      <c r="J28" s="235"/>
      <c r="K28" s="235"/>
      <c r="L28" s="235"/>
      <c r="M28" s="235"/>
      <c r="N28" s="235"/>
      <c r="O28" s="236"/>
      <c r="P28" s="186" t="s">
        <v>328</v>
      </c>
      <c r="Q28" s="186" t="s">
        <v>5</v>
      </c>
      <c r="R28" s="186" t="s">
        <v>322</v>
      </c>
      <c r="S28" s="212" t="s">
        <v>448</v>
      </c>
    </row>
    <row r="29" spans="1:19" x14ac:dyDescent="0.25">
      <c r="A29" s="81" t="s">
        <v>379</v>
      </c>
      <c r="B29" s="196" t="s">
        <v>243</v>
      </c>
      <c r="C29" s="184">
        <f t="shared" ref="C29:C34" si="0">IF(INDEX(Weapons,MATCH(B29,WeaponMenu,0),10)&gt;0,+$F$46,+$F$40)</f>
        <v>0</v>
      </c>
      <c r="D29" s="73">
        <f t="shared" ref="D29:D34" si="1">VLOOKUP(B29,Weapons,11,FALSE)</f>
        <v>0</v>
      </c>
      <c r="E29" s="98"/>
      <c r="F29" s="184">
        <f t="shared" ref="F29:F34" si="2">IF(B29="none",0,(IF(INDEX(Weapons,MATCH(B29,WeaponMenu,0),10)&gt;0,+$F$45,+$F$39)+(INDEX(Weapons,MATCH(B29,WeaponMenu,0),9))))</f>
        <v>0</v>
      </c>
      <c r="G29" s="145" t="str">
        <f>IF($B64="none", " ", IF($B$64="Level 1"," ", IF($B$64="Levels 1-2"," ",  IF($B$64="Levels 1-3"," ",  IF($B$64="Levels 1-4","Level 4",  IF($B$64="Levels 1-5","Level 4", " "))))))&amp;IF(B68=0," ","  (" &amp;B68  &amp;")")</f>
        <v xml:space="preserve">  </v>
      </c>
      <c r="H29" s="226"/>
      <c r="I29" s="237" t="s">
        <v>375</v>
      </c>
      <c r="J29" s="237"/>
      <c r="K29" s="237"/>
      <c r="L29" s="237"/>
      <c r="M29" s="237"/>
      <c r="N29" s="237"/>
      <c r="O29" s="238"/>
      <c r="P29" s="184">
        <f t="shared" ref="P29:P34" si="3">IF(INDEX(Weapons,MATCH(B29,WeaponMenu,0),10)=0,+$F$41,0)</f>
        <v>0</v>
      </c>
      <c r="Q29" s="184">
        <f t="shared" ref="Q29:Q34" si="4">IF(INDEX(Weapons,MATCH(B29,WeaponMenu,0),10)&gt;0,+$F$48,+$F$43)+(INDEX(Weapons,MATCH(B29,WeaponMenu,0),4))</f>
        <v>0</v>
      </c>
      <c r="R29" s="184">
        <f t="shared" ref="R29:R34" si="5">IF(INDEX(Weapons,MATCH(B29,WeaponMenu,0),10)&gt;0,+$F$49,0)</f>
        <v>0</v>
      </c>
      <c r="S29" s="184">
        <f>IF(INDEX(Weapons,MATCH(B29,WeaponMenu,0),10)&gt;0,+$F$47,+$F$42)</f>
        <v>0</v>
      </c>
    </row>
    <row r="30" spans="1:19" x14ac:dyDescent="0.25">
      <c r="A30" s="81" t="s">
        <v>380</v>
      </c>
      <c r="B30" s="196" t="s">
        <v>243</v>
      </c>
      <c r="C30" s="184">
        <f t="shared" si="0"/>
        <v>0</v>
      </c>
      <c r="D30" s="73">
        <f t="shared" si="1"/>
        <v>0</v>
      </c>
      <c r="E30" s="98"/>
      <c r="F30" s="187">
        <f t="shared" si="2"/>
        <v>0</v>
      </c>
      <c r="G30" s="144" t="str">
        <f>IF($B64="none", " ", IF($B$64="Level 1"," ", IF($B$64="Levels 1-2"," ",  IF($B$64="Levels 1-3"," ",  IF($B$64="Levels 1-4"," ",  IF($B$64="Levels 1-5","Level 5", " "))))))&amp;IF(B69=0," ","  (" &amp;B69  &amp;")")</f>
        <v xml:space="preserve">  </v>
      </c>
      <c r="H30" s="225"/>
      <c r="I30" s="235" t="s">
        <v>375</v>
      </c>
      <c r="J30" s="235"/>
      <c r="K30" s="235"/>
      <c r="L30" s="235"/>
      <c r="M30" s="235"/>
      <c r="N30" s="235"/>
      <c r="O30" s="236"/>
      <c r="P30" s="184">
        <f t="shared" si="3"/>
        <v>0</v>
      </c>
      <c r="Q30" s="184">
        <f t="shared" si="4"/>
        <v>0</v>
      </c>
      <c r="R30" s="184">
        <f t="shared" si="5"/>
        <v>0</v>
      </c>
      <c r="S30" s="184">
        <f>IF(INDEX(Weapons,MATCH(B30,WeaponMenu,0),10)&gt;0,+$F$47,+$F$42)</f>
        <v>0</v>
      </c>
    </row>
    <row r="31" spans="1:19" x14ac:dyDescent="0.25">
      <c r="A31" s="73" t="s">
        <v>381</v>
      </c>
      <c r="B31" s="196" t="s">
        <v>243</v>
      </c>
      <c r="C31" s="184">
        <f t="shared" si="0"/>
        <v>0</v>
      </c>
      <c r="D31" s="73">
        <f t="shared" si="1"/>
        <v>0</v>
      </c>
      <c r="E31" s="98"/>
      <c r="F31" s="184">
        <f t="shared" si="2"/>
        <v>0</v>
      </c>
      <c r="G31" s="143"/>
      <c r="H31" s="122"/>
      <c r="I31" s="122"/>
      <c r="J31" s="122"/>
      <c r="K31" s="122"/>
      <c r="L31" s="122"/>
      <c r="M31" s="122"/>
      <c r="N31" s="123"/>
      <c r="O31" s="121"/>
      <c r="P31" s="184">
        <f t="shared" si="3"/>
        <v>0</v>
      </c>
      <c r="Q31" s="184">
        <f t="shared" si="4"/>
        <v>0</v>
      </c>
      <c r="R31" s="184">
        <f t="shared" si="5"/>
        <v>0</v>
      </c>
      <c r="S31" s="184">
        <f>IF(INDEX(Weapons,MATCH(B31,WeaponMenu,0),10)&gt;0,+$F$47,+$F$42)</f>
        <v>0</v>
      </c>
    </row>
    <row r="32" spans="1:19" x14ac:dyDescent="0.25">
      <c r="A32" s="73" t="s">
        <v>382</v>
      </c>
      <c r="B32" s="196" t="s">
        <v>243</v>
      </c>
      <c r="C32" s="184">
        <f t="shared" si="0"/>
        <v>0</v>
      </c>
      <c r="D32" s="98">
        <f t="shared" si="1"/>
        <v>0</v>
      </c>
      <c r="E32" s="98"/>
      <c r="F32" s="184">
        <f t="shared" si="2"/>
        <v>0</v>
      </c>
      <c r="G32" s="132" t="s">
        <v>343</v>
      </c>
      <c r="H32" s="125"/>
      <c r="I32" s="125"/>
      <c r="J32" s="94" t="s">
        <v>66</v>
      </c>
      <c r="K32" s="94"/>
      <c r="L32" s="94"/>
      <c r="M32" s="146" t="s">
        <v>78</v>
      </c>
      <c r="N32" s="94"/>
      <c r="O32" s="130" t="s">
        <v>344</v>
      </c>
      <c r="P32" s="184">
        <f t="shared" si="3"/>
        <v>0</v>
      </c>
      <c r="Q32" s="184">
        <f t="shared" si="4"/>
        <v>0</v>
      </c>
      <c r="R32" s="184">
        <f t="shared" si="5"/>
        <v>0</v>
      </c>
      <c r="S32" s="184">
        <f>IF(INDEX(Weapons,MATCH(B32,WeaponMenu,0),10)&gt;0,+$F$47,+$F$42)</f>
        <v>0</v>
      </c>
    </row>
    <row r="33" spans="1:19" x14ac:dyDescent="0.25">
      <c r="A33" s="73" t="s">
        <v>383</v>
      </c>
      <c r="B33" s="196" t="s">
        <v>243</v>
      </c>
      <c r="C33" s="184">
        <f t="shared" si="0"/>
        <v>0</v>
      </c>
      <c r="D33" s="98">
        <f t="shared" si="1"/>
        <v>0</v>
      </c>
      <c r="E33" s="98"/>
      <c r="F33" s="184">
        <f t="shared" si="2"/>
        <v>0</v>
      </c>
      <c r="G33" s="200"/>
      <c r="H33" s="129"/>
      <c r="I33" s="106"/>
      <c r="J33" s="106" t="str">
        <f>$B$7</f>
        <v>Human</v>
      </c>
      <c r="K33" s="106"/>
      <c r="L33" s="106"/>
      <c r="M33" s="106" t="str">
        <f>$B$6</f>
        <v>Medium</v>
      </c>
      <c r="N33" s="141"/>
      <c r="O33" s="147">
        <f>D75</f>
        <v>50</v>
      </c>
      <c r="P33" s="184">
        <f t="shared" si="3"/>
        <v>0</v>
      </c>
      <c r="Q33" s="184">
        <f t="shared" si="4"/>
        <v>0</v>
      </c>
      <c r="R33" s="184">
        <f t="shared" si="5"/>
        <v>0</v>
      </c>
      <c r="S33" s="75"/>
    </row>
    <row r="34" spans="1:19" ht="15.75" thickBot="1" x14ac:dyDescent="0.3">
      <c r="A34" s="98" t="s">
        <v>384</v>
      </c>
      <c r="B34" s="196" t="s">
        <v>243</v>
      </c>
      <c r="C34" s="184">
        <f t="shared" si="0"/>
        <v>0</v>
      </c>
      <c r="D34" s="98">
        <f t="shared" si="1"/>
        <v>0</v>
      </c>
      <c r="E34" s="98"/>
      <c r="F34" s="184">
        <f t="shared" si="2"/>
        <v>0</v>
      </c>
      <c r="G34" s="61"/>
      <c r="H34" s="62"/>
      <c r="I34" s="62"/>
      <c r="J34" s="62"/>
      <c r="K34" s="62"/>
      <c r="L34" s="62"/>
      <c r="M34" s="62"/>
      <c r="N34" s="62"/>
      <c r="O34" s="63"/>
      <c r="P34" s="184">
        <f t="shared" si="3"/>
        <v>0</v>
      </c>
      <c r="Q34" s="184">
        <f t="shared" si="4"/>
        <v>0</v>
      </c>
      <c r="R34" s="184">
        <f t="shared" si="5"/>
        <v>0</v>
      </c>
      <c r="S34" s="75"/>
    </row>
    <row r="35" spans="1:19" x14ac:dyDescent="0.25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73"/>
      <c r="Q35" s="73"/>
      <c r="R35" s="73"/>
      <c r="S35" s="75"/>
    </row>
    <row r="36" spans="1:19" x14ac:dyDescent="0.25">
      <c r="A36" s="98"/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73"/>
      <c r="Q36" s="73"/>
      <c r="R36" s="73"/>
      <c r="S36" s="75"/>
    </row>
    <row r="37" spans="1:19" x14ac:dyDescent="0.25">
      <c r="A37" s="96" t="s">
        <v>486</v>
      </c>
      <c r="B37" s="73"/>
      <c r="C37" s="73"/>
      <c r="D37" s="73"/>
      <c r="E37" s="98"/>
      <c r="F37" s="73"/>
      <c r="G37" s="73"/>
      <c r="H37" s="73"/>
      <c r="I37" s="73"/>
      <c r="J37" s="73"/>
      <c r="K37" s="73"/>
      <c r="L37" s="98"/>
      <c r="M37" s="73"/>
      <c r="N37" s="73"/>
      <c r="O37" s="73"/>
      <c r="P37" s="73"/>
      <c r="Q37" s="73"/>
      <c r="R37" s="73"/>
      <c r="S37" s="75"/>
    </row>
    <row r="38" spans="1:19" ht="15" customHeight="1" x14ac:dyDescent="0.25">
      <c r="A38" s="76"/>
      <c r="B38" s="77" t="s">
        <v>10</v>
      </c>
      <c r="C38" s="77"/>
      <c r="D38" s="77" t="s">
        <v>11</v>
      </c>
      <c r="E38" s="77">
        <f>SUM(D39:D49)</f>
        <v>0</v>
      </c>
      <c r="F38" s="73"/>
      <c r="G38" s="73"/>
      <c r="H38" s="98"/>
      <c r="I38" s="98"/>
      <c r="J38" s="98"/>
      <c r="K38" s="98"/>
      <c r="L38" s="98"/>
      <c r="M38" s="98"/>
      <c r="N38" s="73"/>
      <c r="O38" s="73"/>
      <c r="P38" s="73"/>
      <c r="Q38" s="73"/>
      <c r="R38" s="73"/>
      <c r="S38" s="75"/>
    </row>
    <row r="39" spans="1:19" x14ac:dyDescent="0.25">
      <c r="A39" s="86" t="s">
        <v>333</v>
      </c>
      <c r="B39" s="198" t="s">
        <v>47</v>
      </c>
      <c r="C39" s="73"/>
      <c r="D39" s="73">
        <f>INDEX(Tabellen!$AC$29:$AG$44,MATCH(B39,Tabellen!$AC$29:$AC$44,0),MATCH($B$6,Tabellen!$AD$29:$AG$29,0)+1)</f>
        <v>0</v>
      </c>
      <c r="E39" s="98"/>
      <c r="F39" s="184">
        <f>IF(B39="normal",0,B39)</f>
        <v>0</v>
      </c>
      <c r="G39" s="98"/>
      <c r="H39" s="98"/>
      <c r="I39" s="98"/>
      <c r="J39" s="98"/>
      <c r="K39" s="98"/>
      <c r="L39" s="98"/>
      <c r="M39" s="98"/>
      <c r="N39" s="98"/>
      <c r="O39" s="98"/>
      <c r="P39" s="73"/>
      <c r="Q39" s="73"/>
      <c r="R39" s="73"/>
      <c r="S39" s="75"/>
    </row>
    <row r="40" spans="1:19" x14ac:dyDescent="0.25">
      <c r="A40" s="86" t="s">
        <v>33</v>
      </c>
      <c r="B40" s="196" t="s">
        <v>50</v>
      </c>
      <c r="C40" s="73"/>
      <c r="D40" s="73">
        <f>INDEX(Tabellen!$AC$48:$AG$51,MATCH(B40,Tabellen!$AC$48:$AC$51,0),MATCH($B$6,Tabellen!$AD$48:$AG$48,0)+1)</f>
        <v>0</v>
      </c>
      <c r="E40" s="98"/>
      <c r="F40" s="188">
        <f>IF(B40="+1D6",1,(IF(B40="+2D6",2,0)))</f>
        <v>0</v>
      </c>
      <c r="G40" s="98"/>
      <c r="H40" s="98"/>
      <c r="I40" s="98"/>
      <c r="J40" s="98"/>
      <c r="K40" s="98"/>
      <c r="L40" s="98"/>
      <c r="M40" s="98"/>
      <c r="N40" s="98"/>
      <c r="O40" s="98"/>
      <c r="P40" s="73"/>
      <c r="Q40" s="73"/>
      <c r="R40" s="73"/>
      <c r="S40" s="75"/>
    </row>
    <row r="41" spans="1:19" x14ac:dyDescent="0.25">
      <c r="A41" s="86" t="s">
        <v>34</v>
      </c>
      <c r="B41" s="196" t="s">
        <v>50</v>
      </c>
      <c r="C41" s="73"/>
      <c r="D41" s="73">
        <f>INDEX(Tabellen!$AC$55:$AG$57,MATCH(B41,Tabellen!$AC$55:$AC$57,0),MATCH($B$6,Tabellen!$AD$55:$AG$55,0)+1)</f>
        <v>0</v>
      </c>
      <c r="E41" s="98"/>
      <c r="F41" s="184">
        <f>IF(B41="+1D10",1,0)</f>
        <v>0</v>
      </c>
      <c r="G41" s="73"/>
      <c r="H41" s="98"/>
      <c r="I41" s="98"/>
      <c r="J41" s="98"/>
      <c r="K41" s="98"/>
      <c r="L41" s="98"/>
      <c r="M41" s="98"/>
      <c r="N41" s="73"/>
      <c r="O41" s="73"/>
      <c r="P41" s="73"/>
      <c r="Q41" s="73"/>
      <c r="R41" s="73"/>
      <c r="S41" s="75"/>
    </row>
    <row r="42" spans="1:19" s="99" customFormat="1" x14ac:dyDescent="0.25">
      <c r="A42" s="86" t="s">
        <v>445</v>
      </c>
      <c r="B42" s="198" t="s">
        <v>47</v>
      </c>
      <c r="C42" s="98"/>
      <c r="D42" s="98">
        <f>INDEX(Tabellen!$J$19:$K$23,MATCH(B42,Tabellen!$J$19:$J$23,0),2)</f>
        <v>0</v>
      </c>
      <c r="E42" s="98"/>
      <c r="F42" s="184">
        <f>IF(B42="normal",0,B42)</f>
        <v>0</v>
      </c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75"/>
    </row>
    <row r="43" spans="1:19" x14ac:dyDescent="0.25">
      <c r="A43" s="86" t="s">
        <v>335</v>
      </c>
      <c r="B43" s="198" t="s">
        <v>47</v>
      </c>
      <c r="C43" s="73"/>
      <c r="D43" s="73">
        <f>INDEX(Tabellen!$AC$61:$AG$70,MATCH(B43,Tabellen!$AC$61:$AC$70,0),MATCH($B$6,Tabellen!$AD$61:$AG$61,0)+1)</f>
        <v>0</v>
      </c>
      <c r="E43" s="98"/>
      <c r="F43" s="184">
        <f>IF(B43="normal",0,B43)</f>
        <v>0</v>
      </c>
      <c r="G43" s="73"/>
      <c r="H43" s="73"/>
      <c r="I43" s="73"/>
      <c r="J43" s="73"/>
      <c r="K43" s="73"/>
      <c r="L43" s="98"/>
      <c r="M43" s="73"/>
      <c r="N43" s="73"/>
      <c r="O43" s="73"/>
      <c r="P43" s="73"/>
      <c r="Q43" s="73"/>
      <c r="R43" s="73"/>
      <c r="S43" s="75"/>
    </row>
    <row r="44" spans="1:19" x14ac:dyDescent="0.25">
      <c r="A44" s="73"/>
      <c r="B44" s="73"/>
      <c r="C44" s="73"/>
      <c r="D44" s="73"/>
      <c r="E44" s="98"/>
      <c r="F44" s="184"/>
      <c r="G44" s="73"/>
      <c r="H44" s="73"/>
      <c r="I44" s="73"/>
      <c r="J44" s="73"/>
      <c r="K44" s="73"/>
      <c r="L44" s="98"/>
      <c r="M44" s="73"/>
      <c r="N44" s="73"/>
      <c r="O44" s="73"/>
      <c r="P44" s="73"/>
      <c r="Q44" s="73"/>
      <c r="R44" s="73"/>
      <c r="S44" s="75"/>
    </row>
    <row r="45" spans="1:19" x14ac:dyDescent="0.25">
      <c r="A45" s="86" t="s">
        <v>334</v>
      </c>
      <c r="B45" s="198" t="s">
        <v>47</v>
      </c>
      <c r="C45" s="73"/>
      <c r="D45" s="73">
        <f>INDEX(Tabellen!$AC$74:$AG$87,MATCH(B45,Tabellen!$AC$74:$AC$87,0),MATCH($B$6,Tabellen!$AD$74:$AG$74,0)+1)</f>
        <v>0</v>
      </c>
      <c r="E45" s="98"/>
      <c r="F45" s="184">
        <f>IF(B45="normal",0,B45)</f>
        <v>0</v>
      </c>
      <c r="G45" s="73"/>
      <c r="H45" s="73"/>
      <c r="I45" s="73"/>
      <c r="J45" s="73"/>
      <c r="K45" s="73"/>
      <c r="L45" s="98"/>
      <c r="M45" s="73"/>
      <c r="N45" s="73"/>
      <c r="O45" s="73"/>
      <c r="P45" s="73"/>
      <c r="Q45" s="73"/>
      <c r="R45" s="73"/>
      <c r="S45" s="75"/>
    </row>
    <row r="46" spans="1:19" x14ac:dyDescent="0.25">
      <c r="A46" s="86" t="s">
        <v>35</v>
      </c>
      <c r="B46" s="196" t="s">
        <v>50</v>
      </c>
      <c r="C46" s="73"/>
      <c r="D46" s="73">
        <f>INDEX(Tabellen!$AC$91:$AG$94,MATCH(B46,Tabellen!$AC$91:$AC$94,0),MATCH($B$6,Tabellen!$AD$91:$AG$91,0)+1)</f>
        <v>0</v>
      </c>
      <c r="E46" s="98"/>
      <c r="F46" s="188">
        <f>IF(B46="+1D6",1,(IF(B46="+2D6",2,0)))</f>
        <v>0</v>
      </c>
      <c r="G46" s="73"/>
      <c r="H46" s="73"/>
      <c r="I46" s="73"/>
      <c r="J46" s="73"/>
      <c r="K46" s="73"/>
      <c r="L46" s="98"/>
      <c r="M46" s="73"/>
      <c r="N46" s="73"/>
      <c r="O46" s="73"/>
      <c r="P46" s="73"/>
      <c r="Q46" s="73"/>
      <c r="R46" s="73"/>
      <c r="S46" s="75"/>
    </row>
    <row r="47" spans="1:19" s="99" customFormat="1" x14ac:dyDescent="0.25">
      <c r="A47" s="86" t="s">
        <v>446</v>
      </c>
      <c r="B47" s="196" t="s">
        <v>47</v>
      </c>
      <c r="C47" s="98"/>
      <c r="D47" s="98">
        <f>INDEX(Tabellen!$J$19:$K$23,MATCH(B47,Tabellen!$J$19:$J$23,0),2)</f>
        <v>0</v>
      </c>
      <c r="E47" s="98"/>
      <c r="F47" s="188">
        <f>IF(B47="normal",0,B47)</f>
        <v>0</v>
      </c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75"/>
    </row>
    <row r="48" spans="1:19" x14ac:dyDescent="0.25">
      <c r="A48" s="86" t="s">
        <v>336</v>
      </c>
      <c r="B48" s="198" t="s">
        <v>47</v>
      </c>
      <c r="C48" s="73"/>
      <c r="D48" s="73">
        <f>INDEX(Tabellen!$AC$98:$AG$104,MATCH(B48,Tabellen!$AC$98:$AC$104,0),MATCH($B$6,Tabellen!$AD$98:$AG$98,0)+1)</f>
        <v>0</v>
      </c>
      <c r="E48" s="98"/>
      <c r="F48" s="184">
        <f>IF(B48="normal",0,B48)</f>
        <v>0</v>
      </c>
      <c r="G48" s="73"/>
      <c r="H48" s="73"/>
      <c r="I48" s="73"/>
      <c r="J48" s="73"/>
      <c r="K48" s="73"/>
      <c r="L48" s="98"/>
      <c r="M48" s="73"/>
      <c r="N48" s="73"/>
      <c r="O48" s="73"/>
      <c r="P48" s="73"/>
      <c r="Q48" s="73"/>
      <c r="R48" s="73"/>
      <c r="S48" s="75"/>
    </row>
    <row r="49" spans="1:19" x14ac:dyDescent="0.25">
      <c r="A49" s="86" t="s">
        <v>387</v>
      </c>
      <c r="B49" s="196" t="s">
        <v>47</v>
      </c>
      <c r="C49" s="73"/>
      <c r="D49" s="73">
        <f>INDEX(Tabellen!$AC$108:$AG$118,MATCH(B49,Tabellen!$AC$108:$AC$118,0),MATCH($B$6,Tabellen!$AD$108:$AG$108,0)+1)</f>
        <v>0</v>
      </c>
      <c r="E49" s="98"/>
      <c r="F49" s="184">
        <f>IF(B49="normal",0,B49)</f>
        <v>0</v>
      </c>
      <c r="G49" s="73"/>
      <c r="H49" s="73"/>
      <c r="I49" s="73"/>
      <c r="J49" s="73"/>
      <c r="K49" s="73"/>
      <c r="L49" s="98"/>
      <c r="M49" s="73"/>
      <c r="N49" s="73"/>
      <c r="O49" s="73"/>
      <c r="P49" s="73"/>
      <c r="Q49" s="73"/>
      <c r="R49" s="73"/>
      <c r="S49" s="75"/>
    </row>
    <row r="50" spans="1:19" x14ac:dyDescent="0.25">
      <c r="A50" s="82"/>
      <c r="B50" s="73"/>
      <c r="C50" s="73"/>
      <c r="D50" s="73"/>
      <c r="E50" s="98"/>
      <c r="F50" s="73"/>
      <c r="G50" s="73"/>
      <c r="H50" s="73"/>
      <c r="I50" s="73"/>
      <c r="J50" s="73"/>
      <c r="K50" s="73"/>
      <c r="L50" s="98"/>
      <c r="M50" s="73"/>
      <c r="N50" s="73"/>
      <c r="O50" s="73"/>
      <c r="P50" s="73"/>
      <c r="Q50" s="73"/>
      <c r="R50" s="73"/>
      <c r="S50" s="75"/>
    </row>
    <row r="51" spans="1:19" x14ac:dyDescent="0.25">
      <c r="A51" s="82"/>
      <c r="B51" s="73"/>
      <c r="C51" s="73"/>
      <c r="D51" s="73"/>
      <c r="E51" s="98"/>
      <c r="F51" s="73"/>
      <c r="G51" s="73"/>
      <c r="H51" s="73"/>
      <c r="I51" s="73"/>
      <c r="J51" s="73"/>
      <c r="K51" s="73"/>
      <c r="L51" s="98"/>
      <c r="M51" s="73"/>
      <c r="N51" s="73"/>
      <c r="O51" s="73"/>
      <c r="P51" s="73"/>
      <c r="Q51" s="73"/>
      <c r="R51" s="73"/>
      <c r="S51" s="75"/>
    </row>
    <row r="52" spans="1:19" x14ac:dyDescent="0.25">
      <c r="A52" s="116" t="s">
        <v>352</v>
      </c>
      <c r="B52" s="73"/>
      <c r="C52" s="73"/>
      <c r="D52" s="73"/>
      <c r="E52" s="98"/>
      <c r="F52" s="73"/>
      <c r="G52" s="228" t="s">
        <v>376</v>
      </c>
      <c r="H52" s="229"/>
      <c r="I52" s="229"/>
      <c r="J52" s="229"/>
      <c r="K52" s="229"/>
      <c r="L52" s="229"/>
      <c r="M52" s="229"/>
      <c r="N52" s="229"/>
      <c r="O52" s="229"/>
      <c r="P52" s="73"/>
      <c r="Q52" s="73"/>
      <c r="R52" s="73"/>
      <c r="S52" s="75"/>
    </row>
    <row r="53" spans="1:19" x14ac:dyDescent="0.25">
      <c r="A53" s="76"/>
      <c r="B53" s="77" t="s">
        <v>10</v>
      </c>
      <c r="C53" s="77"/>
      <c r="D53" s="77" t="s">
        <v>11</v>
      </c>
      <c r="E53" s="77">
        <f>SUM(D55:D59)</f>
        <v>0</v>
      </c>
      <c r="F53" s="98"/>
      <c r="G53" s="229"/>
      <c r="H53" s="229"/>
      <c r="I53" s="229"/>
      <c r="J53" s="229"/>
      <c r="K53" s="229"/>
      <c r="L53" s="229"/>
      <c r="M53" s="229"/>
      <c r="N53" s="229"/>
      <c r="O53" s="229"/>
      <c r="P53" s="73"/>
      <c r="Q53" s="73"/>
      <c r="R53" s="73"/>
      <c r="S53" s="75"/>
    </row>
    <row r="54" spans="1:19" x14ac:dyDescent="0.25">
      <c r="A54" s="86" t="s">
        <v>339</v>
      </c>
      <c r="B54" s="196" t="s">
        <v>179</v>
      </c>
      <c r="C54" s="73"/>
      <c r="D54" s="73"/>
      <c r="E54" s="98"/>
      <c r="F54" s="73"/>
      <c r="G54" s="229"/>
      <c r="H54" s="229"/>
      <c r="I54" s="229"/>
      <c r="J54" s="229"/>
      <c r="K54" s="229"/>
      <c r="L54" s="229"/>
      <c r="M54" s="229"/>
      <c r="N54" s="229"/>
      <c r="O54" s="229"/>
      <c r="P54" s="73"/>
      <c r="Q54" s="73"/>
      <c r="R54" s="73"/>
      <c r="S54" s="75"/>
    </row>
    <row r="55" spans="1:19" x14ac:dyDescent="0.25">
      <c r="A55" s="86" t="s">
        <v>176</v>
      </c>
      <c r="B55" s="198">
        <v>0</v>
      </c>
      <c r="C55" s="73"/>
      <c r="D55" s="73">
        <f>INDEX(Tabellen!$AJ$96:$AO$102,MATCH(B55,Tabellen!$AJ$96:$AJ$102,0),MATCH($B$54,Tabellen!$AK$96:$AO$96,0)+1)</f>
        <v>0</v>
      </c>
      <c r="E55" s="98"/>
      <c r="F55" s="73"/>
      <c r="G55" s="73"/>
      <c r="H55" s="73"/>
      <c r="I55" s="73"/>
      <c r="J55" s="73"/>
      <c r="K55" s="73"/>
      <c r="L55" s="98"/>
      <c r="M55" s="73"/>
      <c r="N55" s="73"/>
      <c r="O55" s="73"/>
      <c r="P55" s="73"/>
      <c r="Q55" s="73"/>
      <c r="R55" s="73"/>
      <c r="S55" s="75"/>
    </row>
    <row r="56" spans="1:19" x14ac:dyDescent="0.25">
      <c r="A56" s="86" t="s">
        <v>174</v>
      </c>
      <c r="B56" s="198">
        <v>0</v>
      </c>
      <c r="C56" s="73"/>
      <c r="D56" s="73">
        <f>INDEX(Tabellen!$AJ$96:$AO$102,MATCH(B56,Tabellen!$AJ$96:$AJ$102,0),MATCH($B$54,Tabellen!$AK$96:$AO$96,0)+1)</f>
        <v>0</v>
      </c>
      <c r="E56" s="98"/>
      <c r="F56" s="73"/>
      <c r="G56" s="73"/>
      <c r="H56" s="73"/>
      <c r="I56" s="73"/>
      <c r="J56" s="73"/>
      <c r="K56" s="73"/>
      <c r="L56" s="98"/>
      <c r="M56" s="73"/>
      <c r="N56" s="73"/>
      <c r="O56" s="73"/>
      <c r="P56" s="73"/>
      <c r="Q56" s="73"/>
      <c r="R56" s="73"/>
      <c r="S56" s="75"/>
    </row>
    <row r="57" spans="1:19" x14ac:dyDescent="0.25">
      <c r="A57" s="86" t="s">
        <v>175</v>
      </c>
      <c r="B57" s="198">
        <v>0</v>
      </c>
      <c r="C57" s="73"/>
      <c r="D57" s="73">
        <f>INDEX(Tabellen!$AJ$96:$AO$102,MATCH(B57,Tabellen!$AJ$96:$AJ$102,0),MATCH($B$54,Tabellen!$AK$96:$AO$96,0)+1)</f>
        <v>0</v>
      </c>
      <c r="E57" s="98"/>
      <c r="F57" s="73"/>
      <c r="G57" s="73"/>
      <c r="H57" s="73"/>
      <c r="I57" s="73"/>
      <c r="J57" s="73"/>
      <c r="K57" s="73"/>
      <c r="L57" s="98"/>
      <c r="M57" s="73"/>
      <c r="N57" s="73"/>
      <c r="O57" s="73"/>
      <c r="P57" s="73"/>
      <c r="Q57" s="73"/>
      <c r="R57" s="73"/>
      <c r="S57" s="75"/>
    </row>
    <row r="58" spans="1:19" x14ac:dyDescent="0.25">
      <c r="A58" s="86" t="s">
        <v>177</v>
      </c>
      <c r="B58" s="198">
        <v>0</v>
      </c>
      <c r="C58" s="73"/>
      <c r="D58" s="73">
        <f>INDEX(Tabellen!$AJ$96:$AO$102,MATCH(B58,Tabellen!$AJ$96:$AJ$102,0),MATCH($B$54,Tabellen!$AK$96:$AO$96,0)+1)</f>
        <v>0</v>
      </c>
      <c r="E58" s="98"/>
      <c r="F58" s="73"/>
      <c r="G58" s="73"/>
      <c r="H58" s="73"/>
      <c r="I58" s="73"/>
      <c r="J58" s="73"/>
      <c r="K58" s="73"/>
      <c r="L58" s="98"/>
      <c r="M58" s="73"/>
      <c r="N58" s="73"/>
      <c r="O58" s="73"/>
      <c r="P58" s="73"/>
      <c r="Q58" s="73"/>
      <c r="R58" s="73"/>
      <c r="S58" s="75"/>
    </row>
    <row r="59" spans="1:19" x14ac:dyDescent="0.25">
      <c r="A59" s="86" t="s">
        <v>178</v>
      </c>
      <c r="B59" s="198">
        <v>0</v>
      </c>
      <c r="C59" s="73"/>
      <c r="D59" s="73">
        <f>INDEX(Tabellen!$AJ$96:$AO$102,MATCH(B59,Tabellen!$AJ$96:$AJ$102,0),MATCH($B$54,Tabellen!$AK$96:$AO$96,0)+1)</f>
        <v>0</v>
      </c>
      <c r="E59" s="98"/>
      <c r="F59" s="73"/>
      <c r="G59" s="73"/>
      <c r="H59" s="73"/>
      <c r="I59" s="73"/>
      <c r="J59" s="73"/>
      <c r="K59" s="73"/>
      <c r="L59" s="98"/>
      <c r="M59" s="73"/>
      <c r="N59" s="73"/>
      <c r="O59" s="73"/>
      <c r="P59" s="73"/>
      <c r="Q59" s="73"/>
      <c r="R59" s="73"/>
      <c r="S59" s="75"/>
    </row>
    <row r="60" spans="1:19" x14ac:dyDescent="0.25">
      <c r="A60" s="73"/>
      <c r="B60" s="73"/>
      <c r="C60" s="73"/>
      <c r="D60" s="73"/>
      <c r="E60" s="98"/>
      <c r="F60" s="73"/>
      <c r="G60" s="73"/>
      <c r="H60" s="73"/>
      <c r="I60" s="73"/>
      <c r="J60" s="73"/>
      <c r="K60" s="73"/>
      <c r="L60" s="98"/>
      <c r="M60" s="73"/>
      <c r="N60" s="73"/>
      <c r="O60" s="73"/>
      <c r="P60" s="73"/>
      <c r="Q60" s="73"/>
      <c r="R60" s="73"/>
      <c r="S60" s="75"/>
    </row>
    <row r="61" spans="1:19" x14ac:dyDescent="0.25">
      <c r="A61" s="73"/>
      <c r="B61" s="73"/>
      <c r="C61" s="73"/>
      <c r="D61" s="73"/>
      <c r="E61" s="98"/>
      <c r="F61" s="73"/>
      <c r="G61" s="73"/>
      <c r="H61" s="73"/>
      <c r="I61" s="73"/>
      <c r="J61" s="73"/>
      <c r="K61" s="73"/>
      <c r="L61" s="98"/>
      <c r="M61" s="73"/>
      <c r="N61" s="73"/>
      <c r="O61" s="73"/>
      <c r="P61" s="73"/>
      <c r="Q61" s="73"/>
      <c r="R61" s="73"/>
      <c r="S61" s="75"/>
    </row>
    <row r="62" spans="1:19" x14ac:dyDescent="0.25">
      <c r="A62" s="116" t="s">
        <v>411</v>
      </c>
      <c r="B62" s="73"/>
      <c r="C62" s="73"/>
      <c r="D62" s="73"/>
      <c r="E62" s="98"/>
      <c r="F62" s="73"/>
      <c r="G62" s="73"/>
      <c r="H62" s="73"/>
      <c r="I62" s="73"/>
      <c r="J62" s="73"/>
      <c r="K62" s="73"/>
      <c r="L62" s="98"/>
      <c r="M62" s="73"/>
      <c r="N62" s="73"/>
      <c r="O62" s="73"/>
      <c r="P62" s="73"/>
      <c r="Q62" s="73"/>
      <c r="R62" s="73"/>
      <c r="S62" s="75"/>
    </row>
    <row r="63" spans="1:19" x14ac:dyDescent="0.25">
      <c r="A63" s="76"/>
      <c r="B63" s="77" t="s">
        <v>10</v>
      </c>
      <c r="C63" s="77"/>
      <c r="D63" s="77" t="s">
        <v>11</v>
      </c>
      <c r="E63" s="77">
        <f>SUM(D64:D72)</f>
        <v>0</v>
      </c>
      <c r="F63" s="73"/>
      <c r="G63" s="73"/>
      <c r="H63" s="73"/>
      <c r="I63" s="73"/>
      <c r="J63" s="73"/>
      <c r="K63" s="73"/>
      <c r="L63" s="98"/>
      <c r="M63" s="73"/>
      <c r="N63" s="73"/>
      <c r="O63" s="73"/>
      <c r="P63" s="73"/>
      <c r="Q63" s="73"/>
      <c r="R63" s="73"/>
      <c r="S63" s="75"/>
    </row>
    <row r="64" spans="1:19" x14ac:dyDescent="0.25">
      <c r="A64" s="86" t="s">
        <v>415</v>
      </c>
      <c r="B64" s="196" t="s">
        <v>50</v>
      </c>
      <c r="C64" s="73"/>
      <c r="D64" s="73">
        <f>VLOOKUP(B64,Tabellen!A13:B18,2,FALSE)</f>
        <v>0</v>
      </c>
      <c r="E64" s="98"/>
      <c r="F64" s="73"/>
      <c r="G64" s="73"/>
      <c r="H64" s="73"/>
      <c r="I64" s="73"/>
      <c r="J64" s="73"/>
      <c r="K64" s="73"/>
      <c r="L64" s="98"/>
      <c r="M64" s="73"/>
      <c r="N64" s="73"/>
      <c r="O64" s="73"/>
      <c r="P64" s="73"/>
      <c r="Q64" s="73"/>
      <c r="R64" s="73"/>
      <c r="S64" s="75"/>
    </row>
    <row r="65" spans="1:19" x14ac:dyDescent="0.25">
      <c r="A65" s="86" t="s">
        <v>161</v>
      </c>
      <c r="B65" s="199">
        <v>0</v>
      </c>
      <c r="C65" s="73"/>
      <c r="D65" s="73">
        <f>VLOOKUP(B65,Tabellen!AI32:AJ37,2,FALSE)</f>
        <v>0</v>
      </c>
      <c r="E65" s="98"/>
      <c r="F65" s="73"/>
      <c r="G65" s="73"/>
      <c r="H65" s="73"/>
      <c r="I65" s="73"/>
      <c r="J65" s="73"/>
      <c r="K65" s="73"/>
      <c r="L65" s="98"/>
      <c r="M65" s="73"/>
      <c r="N65" s="73"/>
      <c r="O65" s="73"/>
      <c r="P65" s="73"/>
      <c r="Q65" s="73"/>
      <c r="R65" s="73"/>
      <c r="S65" s="75"/>
    </row>
    <row r="66" spans="1:19" x14ac:dyDescent="0.25">
      <c r="A66" s="86" t="s">
        <v>162</v>
      </c>
      <c r="B66" s="199">
        <v>0</v>
      </c>
      <c r="C66" s="73"/>
      <c r="D66" s="73">
        <f>VLOOKUP(B66,Tabellen!AI32:AK37,3,FALSE)</f>
        <v>0</v>
      </c>
      <c r="E66" s="98"/>
      <c r="F66" s="73"/>
      <c r="G66" s="73"/>
      <c r="H66" s="73"/>
      <c r="I66" s="73"/>
      <c r="J66" s="73"/>
      <c r="K66" s="73"/>
      <c r="L66" s="98"/>
      <c r="M66" s="73"/>
      <c r="N66" s="73"/>
      <c r="O66" s="73"/>
      <c r="P66" s="73"/>
      <c r="Q66" s="73"/>
      <c r="R66" s="73"/>
      <c r="S66" s="75"/>
    </row>
    <row r="67" spans="1:19" x14ac:dyDescent="0.25">
      <c r="A67" s="86" t="s">
        <v>163</v>
      </c>
      <c r="B67" s="199">
        <v>0</v>
      </c>
      <c r="C67" s="73"/>
      <c r="D67" s="73">
        <f>VLOOKUP(B67,Tabellen!AI32:AL37,4,FALSE)</f>
        <v>0</v>
      </c>
      <c r="E67" s="98"/>
      <c r="F67" s="73"/>
      <c r="G67" s="73"/>
      <c r="H67" s="73"/>
      <c r="I67" s="73"/>
      <c r="J67" s="73"/>
      <c r="K67" s="73"/>
      <c r="L67" s="98"/>
      <c r="M67" s="73"/>
      <c r="N67" s="73"/>
      <c r="O67" s="73"/>
      <c r="P67" s="73"/>
      <c r="Q67" s="73"/>
      <c r="R67" s="73"/>
      <c r="S67" s="75"/>
    </row>
    <row r="68" spans="1:19" x14ac:dyDescent="0.25">
      <c r="A68" s="86" t="s">
        <v>164</v>
      </c>
      <c r="B68" s="199">
        <v>0</v>
      </c>
      <c r="C68" s="73"/>
      <c r="D68" s="73">
        <f>VLOOKUP(B68,Tabellen!AI32:AM37,5,FALSE)</f>
        <v>0</v>
      </c>
      <c r="E68" s="98"/>
      <c r="F68" s="73"/>
      <c r="G68" s="73"/>
      <c r="H68" s="73"/>
      <c r="I68" s="73"/>
      <c r="J68" s="73"/>
      <c r="K68" s="73"/>
      <c r="L68" s="98"/>
      <c r="M68" s="73"/>
      <c r="N68" s="73"/>
      <c r="O68" s="73"/>
      <c r="P68" s="73"/>
      <c r="Q68" s="73"/>
      <c r="R68" s="73"/>
      <c r="S68" s="75"/>
    </row>
    <row r="69" spans="1:19" x14ac:dyDescent="0.25">
      <c r="A69" s="86" t="s">
        <v>165</v>
      </c>
      <c r="B69" s="199">
        <v>0</v>
      </c>
      <c r="C69" s="73"/>
      <c r="D69" s="73">
        <f>VLOOKUP(B69,Tabellen!AI32:AN37,6,FALSE)</f>
        <v>0</v>
      </c>
      <c r="E69" s="98"/>
      <c r="F69" s="73"/>
      <c r="G69" s="98"/>
      <c r="H69" s="98"/>
      <c r="I69" s="98"/>
      <c r="J69" s="98"/>
      <c r="K69" s="98"/>
      <c r="L69" s="98"/>
      <c r="M69" s="73"/>
      <c r="N69" s="73"/>
      <c r="O69" s="73"/>
      <c r="P69" s="73"/>
      <c r="Q69" s="73"/>
      <c r="R69" s="73"/>
      <c r="S69" s="75"/>
    </row>
    <row r="70" spans="1:19" x14ac:dyDescent="0.25">
      <c r="A70" s="73"/>
      <c r="B70" s="73"/>
      <c r="C70" s="73"/>
      <c r="D70" s="73"/>
      <c r="E70" s="98"/>
      <c r="F70" s="73"/>
      <c r="G70" s="98"/>
      <c r="H70" s="98"/>
      <c r="I70" s="98"/>
      <c r="J70" s="98"/>
      <c r="K70" s="98"/>
      <c r="L70" s="98"/>
      <c r="M70" s="73"/>
      <c r="N70" s="73"/>
      <c r="O70" s="73"/>
      <c r="P70" s="73"/>
      <c r="Q70" s="73"/>
      <c r="R70" s="73"/>
      <c r="S70" s="75"/>
    </row>
    <row r="71" spans="1:19" x14ac:dyDescent="0.25">
      <c r="A71" s="86" t="s">
        <v>412</v>
      </c>
      <c r="B71" s="199"/>
      <c r="C71" s="73"/>
      <c r="D71" s="73">
        <f>INDEX(Tabellen!$AO$40:$AU$91,MATCH(B71,Tabellen!$AO$40:$AO$91,0),MATCH('Combatant Calculator'!$B$64,Tabellen!$AP$40:$AU$40,0)+1)</f>
        <v>0</v>
      </c>
      <c r="E71" s="98"/>
      <c r="F71" s="73"/>
      <c r="G71" s="98"/>
      <c r="H71" s="98"/>
      <c r="I71" s="98"/>
      <c r="J71" s="98"/>
      <c r="K71" s="98"/>
      <c r="L71" s="98"/>
      <c r="M71" s="73"/>
      <c r="N71" s="73"/>
      <c r="O71" s="73"/>
      <c r="P71" s="73"/>
      <c r="Q71" s="73"/>
      <c r="R71" s="73"/>
      <c r="S71" s="75"/>
    </row>
    <row r="72" spans="1:19" x14ac:dyDescent="0.25">
      <c r="A72" s="86" t="s">
        <v>414</v>
      </c>
      <c r="B72" s="198" t="s">
        <v>50</v>
      </c>
      <c r="C72" s="73"/>
      <c r="D72" s="73">
        <f>VLOOKUP(B72,Tabellen!A22:B33,2,FALSE)</f>
        <v>0</v>
      </c>
      <c r="E72" s="98"/>
      <c r="F72" s="184">
        <f>IF(B72="none",0,B72)</f>
        <v>0</v>
      </c>
      <c r="G72" s="82"/>
      <c r="H72" s="73"/>
      <c r="I72" s="73"/>
      <c r="J72" s="73"/>
      <c r="K72" s="73"/>
      <c r="L72" s="98"/>
      <c r="M72" s="73"/>
      <c r="N72" s="73"/>
      <c r="O72" s="73"/>
      <c r="P72" s="73"/>
      <c r="Q72" s="73"/>
      <c r="R72" s="73"/>
      <c r="S72" s="75"/>
    </row>
    <row r="73" spans="1:19" x14ac:dyDescent="0.25">
      <c r="A73" s="79"/>
      <c r="B73" s="79"/>
      <c r="C73" s="79"/>
      <c r="D73" s="79"/>
      <c r="E73" s="98"/>
      <c r="F73" s="98"/>
      <c r="G73" s="73"/>
      <c r="H73" s="73"/>
      <c r="I73" s="73"/>
      <c r="J73" s="73"/>
      <c r="K73" s="73"/>
      <c r="L73" s="98"/>
      <c r="M73" s="73"/>
      <c r="N73" s="73"/>
      <c r="O73" s="73"/>
      <c r="P73" s="73"/>
      <c r="Q73" s="73"/>
      <c r="R73" s="73"/>
      <c r="S73" s="75"/>
    </row>
    <row r="74" spans="1:19" x14ac:dyDescent="0.25">
      <c r="A74" s="83"/>
      <c r="B74" s="155"/>
      <c r="C74" s="148"/>
      <c r="D74" s="148"/>
      <c r="E74" s="148"/>
      <c r="F74" s="98"/>
      <c r="G74" s="98"/>
      <c r="H74" s="98"/>
      <c r="I74" s="98"/>
      <c r="J74" s="98"/>
      <c r="K74" s="73"/>
      <c r="L74" s="98"/>
      <c r="M74" s="73"/>
      <c r="N74" s="73"/>
      <c r="O74" s="73"/>
      <c r="P74" s="73"/>
      <c r="Q74" s="73"/>
      <c r="R74" s="73"/>
      <c r="S74" s="75"/>
    </row>
    <row r="75" spans="1:19" ht="15.75" thickBot="1" x14ac:dyDescent="0.3">
      <c r="A75" s="156"/>
      <c r="B75" s="149"/>
      <c r="C75" s="150" t="s">
        <v>348</v>
      </c>
      <c r="D75" s="158">
        <f>SUM(D6:D72)</f>
        <v>50</v>
      </c>
      <c r="E75" s="151"/>
      <c r="F75" s="98"/>
      <c r="G75" s="73"/>
      <c r="H75" s="73"/>
      <c r="I75" s="73"/>
      <c r="J75" s="73"/>
      <c r="K75" s="73"/>
      <c r="L75" s="98"/>
      <c r="M75" s="73"/>
      <c r="N75" s="73"/>
      <c r="O75" s="73"/>
      <c r="P75" s="73"/>
      <c r="Q75" s="73"/>
      <c r="R75" s="73"/>
      <c r="S75" s="75"/>
    </row>
    <row r="76" spans="1:19" ht="15.75" thickTop="1" x14ac:dyDescent="0.25">
      <c r="A76" s="73"/>
      <c r="B76" s="73"/>
      <c r="C76" s="73"/>
      <c r="D76" s="73"/>
      <c r="E76" s="98"/>
      <c r="F76" s="73"/>
      <c r="G76" s="73"/>
      <c r="H76" s="73"/>
      <c r="I76" s="73"/>
      <c r="J76" s="73"/>
      <c r="K76" s="73"/>
      <c r="L76" s="98"/>
      <c r="M76" s="73"/>
      <c r="N76" s="73"/>
      <c r="O76" s="73"/>
      <c r="P76" s="73"/>
      <c r="Q76" s="73"/>
      <c r="R76" s="73"/>
      <c r="S76" s="75"/>
    </row>
    <row r="77" spans="1:19" x14ac:dyDescent="0.25">
      <c r="A77" s="73"/>
      <c r="B77" s="73"/>
      <c r="C77" s="159"/>
      <c r="D77" s="159"/>
      <c r="E77" s="157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75"/>
    </row>
    <row r="78" spans="1:19" x14ac:dyDescent="0.25">
      <c r="A78" s="73"/>
      <c r="B78" s="73"/>
      <c r="C78" s="73"/>
      <c r="D78" s="73"/>
      <c r="E78" s="98"/>
      <c r="F78" s="73"/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75"/>
    </row>
    <row r="79" spans="1:19" x14ac:dyDescent="0.25">
      <c r="A79" s="194" t="s">
        <v>406</v>
      </c>
      <c r="B79" s="98"/>
      <c r="C79" s="73"/>
      <c r="D79" s="73"/>
      <c r="E79" s="98"/>
      <c r="F79" s="73"/>
      <c r="G79" s="98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75"/>
    </row>
    <row r="80" spans="1:19" x14ac:dyDescent="0.25">
      <c r="A80" s="14"/>
      <c r="B80" s="77"/>
      <c r="C80" s="77"/>
      <c r="D80" s="77" t="s">
        <v>490</v>
      </c>
      <c r="E80" s="14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75"/>
    </row>
    <row r="81" spans="1:19" x14ac:dyDescent="0.25">
      <c r="A81" s="195" t="s">
        <v>407</v>
      </c>
      <c r="B81" s="199"/>
      <c r="C81" s="98"/>
      <c r="D81" s="159">
        <f>B81*2%</f>
        <v>0</v>
      </c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75"/>
    </row>
    <row r="82" spans="1:19" x14ac:dyDescent="0.25">
      <c r="A82" s="98"/>
      <c r="B82" s="98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75"/>
    </row>
    <row r="83" spans="1:19" x14ac:dyDescent="0.25">
      <c r="A83" s="98"/>
      <c r="B83" s="98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75"/>
    </row>
    <row r="84" spans="1:19" x14ac:dyDescent="0.25">
      <c r="A84" s="98" t="s">
        <v>413</v>
      </c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75"/>
    </row>
    <row r="85" spans="1:19" x14ac:dyDescent="0.25">
      <c r="A85" s="98"/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75"/>
    </row>
    <row r="86" spans="1:19" x14ac:dyDescent="0.25">
      <c r="A86" s="98"/>
      <c r="B86" s="98"/>
      <c r="C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75"/>
    </row>
    <row r="87" spans="1:19" x14ac:dyDescent="0.25">
      <c r="A87" s="98"/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75"/>
    </row>
    <row r="88" spans="1:19" x14ac:dyDescent="0.25">
      <c r="A88" s="98"/>
      <c r="B88" s="98"/>
      <c r="C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75"/>
    </row>
    <row r="89" spans="1:19" x14ac:dyDescent="0.25">
      <c r="A89" s="98"/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75"/>
    </row>
    <row r="90" spans="1:19" x14ac:dyDescent="0.25">
      <c r="A90" s="98"/>
      <c r="B90" s="98"/>
      <c r="C90" s="9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98"/>
      <c r="S90" s="75"/>
    </row>
    <row r="91" spans="1:19" x14ac:dyDescent="0.25">
      <c r="A91" s="98"/>
      <c r="B91" s="98"/>
      <c r="C91" s="98"/>
      <c r="D91" s="98"/>
      <c r="E91" s="98"/>
      <c r="F91" s="98"/>
      <c r="G91" s="98"/>
      <c r="H91" s="98"/>
      <c r="I91" s="98"/>
      <c r="J91" s="98"/>
      <c r="K91" s="98"/>
      <c r="L91" s="98"/>
      <c r="M91" s="98"/>
      <c r="N91" s="98"/>
      <c r="O91" s="98"/>
      <c r="P91" s="98"/>
      <c r="Q91" s="98"/>
      <c r="R91" s="98"/>
      <c r="S91" s="75"/>
    </row>
    <row r="92" spans="1:19" x14ac:dyDescent="0.25">
      <c r="A92" s="98"/>
      <c r="B92" s="98"/>
      <c r="C92" s="98"/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  <c r="S92" s="75"/>
    </row>
    <row r="93" spans="1:19" x14ac:dyDescent="0.25">
      <c r="A93" s="98"/>
      <c r="B93" s="98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  <c r="O93" s="98"/>
      <c r="P93" s="98"/>
      <c r="Q93" s="98"/>
      <c r="R93" s="98"/>
      <c r="S93" s="75"/>
    </row>
    <row r="94" spans="1:19" x14ac:dyDescent="0.25">
      <c r="A94" s="98"/>
      <c r="B94" s="98"/>
      <c r="C94" s="98"/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75"/>
    </row>
    <row r="95" spans="1:19" x14ac:dyDescent="0.25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  <c r="O95" s="98"/>
      <c r="P95" s="98"/>
      <c r="Q95" s="98"/>
      <c r="R95" s="98"/>
      <c r="S95" s="75"/>
    </row>
    <row r="96" spans="1:19" x14ac:dyDescent="0.25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  <c r="L96" s="98"/>
      <c r="M96" s="98"/>
      <c r="N96" s="98"/>
      <c r="O96" s="98"/>
      <c r="P96" s="98"/>
      <c r="Q96" s="98"/>
      <c r="R96" s="98"/>
      <c r="S96" s="75"/>
    </row>
    <row r="97" spans="1:19" x14ac:dyDescent="0.25">
      <c r="A97" s="98"/>
      <c r="B97" s="98"/>
      <c r="C97" s="98"/>
      <c r="D97" s="98"/>
      <c r="E97" s="98"/>
      <c r="F97" s="98"/>
      <c r="G97" s="98"/>
      <c r="H97" s="98"/>
      <c r="I97" s="98"/>
      <c r="J97" s="98"/>
      <c r="K97" s="98"/>
      <c r="L97" s="98"/>
      <c r="M97" s="98"/>
      <c r="N97" s="98"/>
      <c r="O97" s="98"/>
      <c r="P97" s="98"/>
      <c r="Q97" s="98"/>
      <c r="R97" s="98"/>
      <c r="S97" s="75"/>
    </row>
    <row r="98" spans="1:19" x14ac:dyDescent="0.25">
      <c r="A98" s="98"/>
      <c r="B98" s="98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98"/>
      <c r="P98" s="98"/>
      <c r="Q98" s="98"/>
      <c r="R98" s="98"/>
      <c r="S98" s="75"/>
    </row>
  </sheetData>
  <sheetProtection password="FDBB" sheet="1" objects="1" scenarios="1" selectLockedCells="1"/>
  <mergeCells count="9">
    <mergeCell ref="H5:K5"/>
    <mergeCell ref="G52:O54"/>
    <mergeCell ref="G15:O18"/>
    <mergeCell ref="H4:O4"/>
    <mergeCell ref="I26:O26"/>
    <mergeCell ref="I27:O27"/>
    <mergeCell ref="I28:O28"/>
    <mergeCell ref="I29:O29"/>
    <mergeCell ref="I30:O30"/>
  </mergeCells>
  <conditionalFormatting sqref="I11">
    <cfRule type="expression" dxfId="104" priority="31">
      <formula>$I$11="+0"</formula>
    </cfRule>
    <cfRule type="expression" dxfId="103" priority="55">
      <formula>$I$11="+0D10"</formula>
    </cfRule>
  </conditionalFormatting>
  <conditionalFormatting sqref="I10">
    <cfRule type="expression" dxfId="102" priority="32">
      <formula>$I$10="+0"</formula>
    </cfRule>
    <cfRule type="expression" dxfId="101" priority="53">
      <formula>$I$10="+0D10"</formula>
    </cfRule>
  </conditionalFormatting>
  <conditionalFormatting sqref="J10">
    <cfRule type="expression" dxfId="100" priority="51">
      <formula>$J$10=0</formula>
    </cfRule>
  </conditionalFormatting>
  <conditionalFormatting sqref="M10">
    <cfRule type="expression" dxfId="99" priority="48">
      <formula>$M$10=0</formula>
    </cfRule>
  </conditionalFormatting>
  <conditionalFormatting sqref="M11">
    <cfRule type="expression" dxfId="98" priority="47">
      <formula>$M$11=0</formula>
    </cfRule>
  </conditionalFormatting>
  <conditionalFormatting sqref="M12">
    <cfRule type="expression" dxfId="97" priority="46">
      <formula>$M$12=0</formula>
    </cfRule>
  </conditionalFormatting>
  <conditionalFormatting sqref="N11">
    <cfRule type="expression" dxfId="96" priority="38">
      <formula>$N$11="-2 per -1"""</formula>
    </cfRule>
    <cfRule type="expression" dxfId="95" priority="45">
      <formula>$N$11="-2 per 0"""</formula>
    </cfRule>
  </conditionalFormatting>
  <conditionalFormatting sqref="N10">
    <cfRule type="expression" dxfId="94" priority="39">
      <formula>$N$10="-2 per -1"""</formula>
    </cfRule>
    <cfRule type="expression" dxfId="93" priority="43">
      <formula>$N$10="-2 per 0"""</formula>
    </cfRule>
  </conditionalFormatting>
  <conditionalFormatting sqref="N12">
    <cfRule type="expression" dxfId="92" priority="37">
      <formula>$N$12="-2 per -1"""</formula>
    </cfRule>
    <cfRule type="expression" dxfId="91" priority="42">
      <formula>$N$12="-2 per 0"""</formula>
    </cfRule>
  </conditionalFormatting>
  <conditionalFormatting sqref="J11">
    <cfRule type="expression" dxfId="90" priority="41">
      <formula>$J$11=0</formula>
    </cfRule>
  </conditionalFormatting>
  <conditionalFormatting sqref="J12">
    <cfRule type="expression" dxfId="89" priority="40">
      <formula>$J$12=0</formula>
    </cfRule>
  </conditionalFormatting>
  <conditionalFormatting sqref="I12">
    <cfRule type="expression" dxfId="88" priority="30">
      <formula>$I$12="+0"</formula>
    </cfRule>
    <cfRule type="expression" dxfId="87" priority="36">
      <formula>$I$12="+0D10"</formula>
    </cfRule>
  </conditionalFormatting>
  <conditionalFormatting sqref="H10">
    <cfRule type="expression" dxfId="86" priority="35">
      <formula>$H$10="0"</formula>
    </cfRule>
  </conditionalFormatting>
  <conditionalFormatting sqref="H11">
    <cfRule type="expression" dxfId="85" priority="34">
      <formula>$H$11="0"</formula>
    </cfRule>
  </conditionalFormatting>
  <conditionalFormatting sqref="H12">
    <cfRule type="expression" dxfId="84" priority="33">
      <formula>$H$12="0"</formula>
    </cfRule>
  </conditionalFormatting>
  <conditionalFormatting sqref="K10:L10">
    <cfRule type="expression" dxfId="83" priority="29">
      <formula>$K$10=0</formula>
    </cfRule>
  </conditionalFormatting>
  <conditionalFormatting sqref="K11:L11">
    <cfRule type="expression" dxfId="82" priority="28">
      <formula>$K$11=0</formula>
    </cfRule>
  </conditionalFormatting>
  <conditionalFormatting sqref="K12:L12">
    <cfRule type="expression" dxfId="81" priority="27">
      <formula>$K$12=0</formula>
    </cfRule>
  </conditionalFormatting>
  <conditionalFormatting sqref="I13">
    <cfRule type="expression" dxfId="80" priority="3">
      <formula>$I$13="+0"</formula>
    </cfRule>
    <cfRule type="expression" dxfId="79" priority="9">
      <formula>$I$13="+0D10"</formula>
    </cfRule>
  </conditionalFormatting>
  <conditionalFormatting sqref="M13">
    <cfRule type="expression" dxfId="78" priority="8">
      <formula>$M$13=0</formula>
    </cfRule>
  </conditionalFormatting>
  <conditionalFormatting sqref="N13">
    <cfRule type="expression" dxfId="77" priority="5">
      <formula>$N$13="-2 per -1"""</formula>
    </cfRule>
    <cfRule type="expression" dxfId="76" priority="7">
      <formula>$N$13="-2 per 0"""</formula>
    </cfRule>
  </conditionalFormatting>
  <conditionalFormatting sqref="J13">
    <cfRule type="expression" dxfId="75" priority="6">
      <formula>$J$13=0</formula>
    </cfRule>
  </conditionalFormatting>
  <conditionalFormatting sqref="K13:L13">
    <cfRule type="expression" dxfId="74" priority="2">
      <formula>$K$13=0</formula>
    </cfRule>
  </conditionalFormatting>
  <conditionalFormatting sqref="H13">
    <cfRule type="expression" dxfId="73" priority="1">
      <formula>$H$13="0"</formula>
    </cfRule>
  </conditionalFormatting>
  <dataValidations count="28">
    <dataValidation type="list" allowBlank="1" showInputMessage="1" showErrorMessage="1" sqref="B6">
      <formula1>BaseCost</formula1>
    </dataValidation>
    <dataValidation type="list" allowBlank="1" showInputMessage="1" showErrorMessage="1" sqref="B7">
      <formula1>RaceMod</formula1>
    </dataValidation>
    <dataValidation type="list" allowBlank="1" showInputMessage="1" showErrorMessage="1" sqref="B14">
      <formula1>MovementMenu</formula1>
    </dataValidation>
    <dataValidation type="list" allowBlank="1" showInputMessage="1" showErrorMessage="1" sqref="B17">
      <formula1>DefenseMenu</formula1>
    </dataValidation>
    <dataValidation type="list" allowBlank="1" showInputMessage="1" showErrorMessage="1" sqref="B18">
      <formula1>ShieldBonus</formula1>
    </dataValidation>
    <dataValidation type="list" allowBlank="1" showInputMessage="1" showErrorMessage="1" sqref="B19">
      <formula1>Armor</formula1>
    </dataValidation>
    <dataValidation type="list" allowBlank="1" showInputMessage="1" showErrorMessage="1" sqref="B21">
      <formula1>EnduranceMenu</formula1>
    </dataValidation>
    <dataValidation type="list" allowBlank="1" showInputMessage="1" showErrorMessage="1" sqref="B15">
      <formula1>MoraleMenu</formula1>
    </dataValidation>
    <dataValidation type="list" allowBlank="1" showInputMessage="1" showErrorMessage="1" sqref="B23">
      <formula1>ManeuverMenu</formula1>
    </dataValidation>
    <dataValidation type="list" allowBlank="1" showInputMessage="1" showErrorMessage="1" sqref="B24">
      <formula1>Resistance</formula1>
    </dataValidation>
    <dataValidation type="list" allowBlank="1" showInputMessage="1" showErrorMessage="1" sqref="B39">
      <formula1>MeleeFixedMenu</formula1>
    </dataValidation>
    <dataValidation type="list" allowBlank="1" showInputMessage="1" showErrorMessage="1" sqref="B40">
      <formula1>MeleeExtraD6Menu</formula1>
    </dataValidation>
    <dataValidation type="list" allowBlank="1" showInputMessage="1" showErrorMessage="1" sqref="B41">
      <formula1>MeleeExtraD10Menu</formula1>
    </dataValidation>
    <dataValidation type="list" allowBlank="1" showInputMessage="1" showErrorMessage="1" sqref="B43">
      <formula1>MeleeDamageMenu</formula1>
    </dataValidation>
    <dataValidation type="list" allowBlank="1" showInputMessage="1" showErrorMessage="1" sqref="B45">
      <formula1>MissileFixedMenu</formula1>
    </dataValidation>
    <dataValidation type="list" allowBlank="1" showInputMessage="1" showErrorMessage="1" sqref="B46">
      <formula1>MissileExtraD6Menu</formula1>
    </dataValidation>
    <dataValidation type="list" allowBlank="1" showInputMessage="1" showErrorMessage="1" sqref="B48">
      <formula1>MissileDamageMenu</formula1>
    </dataValidation>
    <dataValidation type="list" allowBlank="1" showInputMessage="1" showErrorMessage="1" sqref="B49">
      <formula1>RangeModMenu</formula1>
    </dataValidation>
    <dataValidation type="list" allowBlank="1" showInputMessage="1" showErrorMessage="1" sqref="B29:B34">
      <formula1>WeaponMenu</formula1>
    </dataValidation>
    <dataValidation type="list" allowBlank="1" showInputMessage="1" showErrorMessage="1" sqref="B64">
      <formula1>AbilitytoCast</formula1>
    </dataValidation>
    <dataValidation type="list" allowBlank="1" showInputMessage="1" showErrorMessage="1" sqref="B65:B69">
      <formula1>SpellsLearned</formula1>
    </dataValidation>
    <dataValidation type="list" allowBlank="1" showInputMessage="1" showErrorMessage="1" sqref="B71">
      <formula1>PowerpointsMenu</formula1>
    </dataValidation>
    <dataValidation type="list" allowBlank="1" showInputMessage="1" showErrorMessage="1" sqref="B72">
      <formula1>ElementalSpellBonus</formula1>
    </dataValidation>
    <dataValidation type="list" allowBlank="1" showInputMessage="1" showErrorMessage="1" sqref="B54">
      <formula1>LeaderRange</formula1>
    </dataValidation>
    <dataValidation type="list" allowBlank="1" showInputMessage="1" showErrorMessage="1" sqref="B55:B59">
      <formula1>LeaderBoost</formula1>
    </dataValidation>
    <dataValidation type="list" allowBlank="1" showInputMessage="1" showErrorMessage="1" sqref="B8">
      <formula1>ProfessionMod</formula1>
    </dataValidation>
    <dataValidation type="list" allowBlank="1" showInputMessage="1" showErrorMessage="1" sqref="B9">
      <formula1>SkillsMenu</formula1>
    </dataValidation>
    <dataValidation type="list" allowBlank="1" showInputMessage="1" showErrorMessage="1" sqref="B42 B47">
      <formula1>DamageMultiMenu</formula1>
    </dataValidation>
  </dataValidations>
  <pageMargins left="0.7" right="0.7" top="0.78740157499999996" bottom="0.78740157499999996" header="0.3" footer="0.3"/>
  <pageSetup paperSize="9" orientation="portrait" r:id="rId1"/>
  <ignoredErrors>
    <ignoredError sqref="F4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Q54"/>
  <sheetViews>
    <sheetView topLeftCell="A22" workbookViewId="0">
      <selection activeCell="A7" sqref="A7"/>
    </sheetView>
  </sheetViews>
  <sheetFormatPr baseColWidth="10" defaultRowHeight="15" x14ac:dyDescent="0.25"/>
  <cols>
    <col min="1" max="1" width="12.85546875" customWidth="1"/>
    <col min="2" max="5" width="13.140625" bestFit="1" customWidth="1"/>
    <col min="8" max="8" width="14.5703125" customWidth="1"/>
    <col min="9" max="9" width="5" customWidth="1"/>
    <col min="10" max="10" width="5.85546875" customWidth="1"/>
    <col min="11" max="11" width="6.140625" customWidth="1"/>
    <col min="12" max="12" width="7.42578125" customWidth="1"/>
    <col min="13" max="13" width="7.42578125" style="99" customWidth="1"/>
    <col min="14" max="14" width="9.7109375" customWidth="1"/>
    <col min="16" max="16" width="6.7109375" customWidth="1"/>
  </cols>
  <sheetData>
    <row r="1" spans="1:17" ht="21" thickBot="1" x14ac:dyDescent="0.35">
      <c r="A1" s="162" t="s">
        <v>191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</row>
    <row r="2" spans="1:17" x14ac:dyDescent="0.25">
      <c r="A2" s="163"/>
      <c r="B2" s="163"/>
      <c r="C2" s="163"/>
      <c r="D2" s="163"/>
      <c r="E2" s="163"/>
      <c r="F2" s="163"/>
      <c r="G2" s="163"/>
      <c r="H2" s="69"/>
      <c r="I2" s="70"/>
      <c r="J2" s="70"/>
      <c r="K2" s="70"/>
      <c r="L2" s="70"/>
      <c r="M2" s="70"/>
      <c r="N2" s="70"/>
      <c r="O2" s="70"/>
      <c r="P2" s="71"/>
      <c r="Q2" s="163"/>
    </row>
    <row r="3" spans="1:17" x14ac:dyDescent="0.25">
      <c r="A3" s="176" t="s">
        <v>358</v>
      </c>
      <c r="B3" s="164"/>
      <c r="C3" s="164"/>
      <c r="D3" s="164"/>
      <c r="E3" s="164"/>
      <c r="F3" s="175" t="s">
        <v>11</v>
      </c>
      <c r="G3" s="163"/>
      <c r="H3" s="65"/>
      <c r="I3" s="66"/>
      <c r="J3" s="66"/>
      <c r="K3" s="66"/>
      <c r="L3" s="66"/>
      <c r="M3" s="66"/>
      <c r="N3" s="115" t="s">
        <v>378</v>
      </c>
      <c r="O3" s="66"/>
      <c r="P3" s="67"/>
      <c r="Q3" s="163"/>
    </row>
    <row r="4" spans="1:17" x14ac:dyDescent="0.25">
      <c r="A4" s="163"/>
      <c r="B4" s="163"/>
      <c r="C4" s="163"/>
      <c r="D4" s="163"/>
      <c r="E4" s="163"/>
      <c r="F4" s="163"/>
      <c r="G4" s="163"/>
      <c r="H4" s="112" t="s">
        <v>251</v>
      </c>
      <c r="I4" s="233"/>
      <c r="J4" s="233"/>
      <c r="K4" s="233"/>
      <c r="L4" s="233"/>
      <c r="M4" s="233"/>
      <c r="N4" s="233"/>
      <c r="O4" s="233"/>
      <c r="P4" s="234"/>
      <c r="Q4" s="163"/>
    </row>
    <row r="5" spans="1:17" x14ac:dyDescent="0.25">
      <c r="A5" s="165" t="s">
        <v>196</v>
      </c>
      <c r="B5" s="165" t="s">
        <v>195</v>
      </c>
      <c r="C5" s="165" t="s">
        <v>194</v>
      </c>
      <c r="D5" s="165" t="s">
        <v>193</v>
      </c>
      <c r="E5" s="165" t="s">
        <v>192</v>
      </c>
      <c r="F5" s="163"/>
      <c r="G5" s="163"/>
      <c r="H5" s="113" t="s">
        <v>252</v>
      </c>
      <c r="I5" s="227" t="str">
        <f>'Combatant Calculator'!H5</f>
        <v>5"/4"/2.5"/1.5"</v>
      </c>
      <c r="J5" s="227"/>
      <c r="K5" s="227"/>
      <c r="L5" s="227"/>
      <c r="M5" s="209"/>
      <c r="N5" s="101"/>
      <c r="O5" s="89" t="s">
        <v>318</v>
      </c>
      <c r="P5" s="84">
        <f>'Combatant Calculator'!O5</f>
        <v>10</v>
      </c>
      <c r="Q5" s="163"/>
    </row>
    <row r="6" spans="1:17" x14ac:dyDescent="0.25">
      <c r="A6" s="166">
        <f>IF(A7=(TRUE),('Combatant Calculator'!$D$75),)</f>
        <v>50</v>
      </c>
      <c r="B6" s="166">
        <f>IF(B7=(TRUE),('Combatant Calculator'!$D$75),)</f>
        <v>50</v>
      </c>
      <c r="C6" s="166">
        <f>IF(C7=(TRUE),('Combatant Calculator'!$D$75),)</f>
        <v>50</v>
      </c>
      <c r="D6" s="166">
        <f>IF(D7=(TRUE),('Combatant Calculator'!$D$75),)</f>
        <v>50</v>
      </c>
      <c r="E6" s="166">
        <f>IF(E7=(TRUE),('Combatant Calculator'!$D$75),)</f>
        <v>50</v>
      </c>
      <c r="F6" s="163">
        <f>SUM(A6:E6)</f>
        <v>250</v>
      </c>
      <c r="G6" s="163"/>
      <c r="H6" s="114" t="s">
        <v>317</v>
      </c>
      <c r="I6" s="85">
        <f>'Combatant Calculator'!H6</f>
        <v>7</v>
      </c>
      <c r="J6" s="85"/>
      <c r="K6" s="87" t="s">
        <v>315</v>
      </c>
      <c r="L6" s="85"/>
      <c r="M6" s="85"/>
      <c r="N6" s="88">
        <f>'Combatant Calculator'!M6</f>
        <v>0</v>
      </c>
      <c r="O6" s="87" t="s">
        <v>316</v>
      </c>
      <c r="P6" s="90">
        <f>'Combatant Calculator'!O6</f>
        <v>0</v>
      </c>
      <c r="Q6" s="163"/>
    </row>
    <row r="7" spans="1:17" x14ac:dyDescent="0.25">
      <c r="A7" s="223" t="b">
        <v>1</v>
      </c>
      <c r="B7" s="223" t="b">
        <v>1</v>
      </c>
      <c r="C7" s="223" t="b">
        <v>1</v>
      </c>
      <c r="D7" s="223" t="b">
        <v>1</v>
      </c>
      <c r="E7" s="223" t="b">
        <v>1</v>
      </c>
      <c r="F7" s="163"/>
      <c r="G7" s="163"/>
      <c r="H7" s="113" t="s">
        <v>319</v>
      </c>
      <c r="I7" s="124">
        <f>'Combatant Calculator'!H7</f>
        <v>5</v>
      </c>
      <c r="J7" s="124"/>
      <c r="K7" s="89" t="s">
        <v>320</v>
      </c>
      <c r="L7" s="124"/>
      <c r="M7" s="124"/>
      <c r="N7" s="124">
        <f>'Combatant Calculator'!M7</f>
        <v>10</v>
      </c>
      <c r="O7" s="89" t="s">
        <v>321</v>
      </c>
      <c r="P7" s="84">
        <f>'Combatant Calculator'!O7</f>
        <v>10</v>
      </c>
      <c r="Q7" s="163"/>
    </row>
    <row r="8" spans="1:17" x14ac:dyDescent="0.25">
      <c r="A8" s="165" t="s">
        <v>197</v>
      </c>
      <c r="B8" s="165" t="s">
        <v>198</v>
      </c>
      <c r="C8" s="165" t="s">
        <v>199</v>
      </c>
      <c r="D8" s="165" t="s">
        <v>200</v>
      </c>
      <c r="E8" s="165" t="s">
        <v>201</v>
      </c>
      <c r="F8" s="163"/>
      <c r="G8" s="163"/>
      <c r="H8" s="65"/>
      <c r="I8" s="66"/>
      <c r="J8" s="66"/>
      <c r="K8" s="66"/>
      <c r="L8" s="66"/>
      <c r="M8" s="66"/>
      <c r="N8" s="66"/>
      <c r="O8" s="66"/>
      <c r="P8" s="67"/>
      <c r="Q8" s="163"/>
    </row>
    <row r="9" spans="1:17" x14ac:dyDescent="0.25">
      <c r="A9" s="166">
        <f>IF(A10=(TRUE),('Combatant Calculator'!$D$75),)</f>
        <v>50</v>
      </c>
      <c r="B9" s="166">
        <f>IF(B10=(TRUE),('Combatant Calculator'!$D$75),)</f>
        <v>50</v>
      </c>
      <c r="C9" s="166">
        <f>IF(C10=(TRUE),('Combatant Calculator'!$D$75),)</f>
        <v>50</v>
      </c>
      <c r="D9" s="166">
        <f>IF(D10=(TRUE),('Combatant Calculator'!$D$75),)</f>
        <v>50</v>
      </c>
      <c r="E9" s="166">
        <f>IF(E10=(TRUE),('Combatant Calculator'!$D$75),)</f>
        <v>0</v>
      </c>
      <c r="F9" s="163">
        <f>SUM(A9:E9)</f>
        <v>200</v>
      </c>
      <c r="G9" s="163"/>
      <c r="H9" s="112" t="s">
        <v>323</v>
      </c>
      <c r="I9" s="94" t="s">
        <v>324</v>
      </c>
      <c r="J9" s="94"/>
      <c r="K9" s="94"/>
      <c r="L9" s="94" t="s">
        <v>325</v>
      </c>
      <c r="M9" s="94"/>
      <c r="N9" s="102"/>
      <c r="O9" s="94" t="s">
        <v>326</v>
      </c>
      <c r="P9" s="95"/>
      <c r="Q9" s="163"/>
    </row>
    <row r="10" spans="1:17" x14ac:dyDescent="0.25">
      <c r="A10" s="223" t="b">
        <v>1</v>
      </c>
      <c r="B10" s="223" t="b">
        <v>1</v>
      </c>
      <c r="C10" s="223" t="b">
        <v>1</v>
      </c>
      <c r="D10" s="223" t="b">
        <v>1</v>
      </c>
      <c r="E10" s="223" t="b">
        <v>0</v>
      </c>
      <c r="F10" s="163"/>
      <c r="G10" s="163"/>
      <c r="H10" s="97" t="str">
        <f>'Combatant Calculator'!G10</f>
        <v>None</v>
      </c>
      <c r="I10" s="101" t="str">
        <f>'Combatant Calculator'!H10</f>
        <v/>
      </c>
      <c r="J10" s="100" t="str">
        <f>'Combatant Calculator'!I10</f>
        <v/>
      </c>
      <c r="K10" s="104" t="str">
        <f>'Combatant Calculator'!J10</f>
        <v xml:space="preserve"> </v>
      </c>
      <c r="L10" s="100">
        <f>'Combatant Calculator'!K10</f>
        <v>0</v>
      </c>
      <c r="M10" s="209" t="str">
        <f>'Combatant Calculator'!L10</f>
        <v xml:space="preserve"> </v>
      </c>
      <c r="N10" s="104" t="str">
        <f>'Combatant Calculator'!M10</f>
        <v xml:space="preserve"> </v>
      </c>
      <c r="O10" s="100" t="str">
        <f>'Combatant Calculator'!N10</f>
        <v xml:space="preserve"> </v>
      </c>
      <c r="P10" s="68"/>
      <c r="Q10" s="163"/>
    </row>
    <row r="11" spans="1:17" x14ac:dyDescent="0.25">
      <c r="A11" s="165" t="s">
        <v>202</v>
      </c>
      <c r="B11" s="165" t="s">
        <v>203</v>
      </c>
      <c r="C11" s="165" t="s">
        <v>204</v>
      </c>
      <c r="D11" s="165" t="s">
        <v>205</v>
      </c>
      <c r="E11" s="165" t="s">
        <v>206</v>
      </c>
      <c r="F11" s="163"/>
      <c r="G11" s="163"/>
      <c r="H11" s="133" t="str">
        <f>'Combatant Calculator'!G11</f>
        <v>None</v>
      </c>
      <c r="I11" s="134" t="str">
        <f>'Combatant Calculator'!H11</f>
        <v/>
      </c>
      <c r="J11" s="134" t="str">
        <f>'Combatant Calculator'!I11</f>
        <v/>
      </c>
      <c r="K11" s="117" t="str">
        <f>'Combatant Calculator'!J11</f>
        <v xml:space="preserve"> </v>
      </c>
      <c r="L11" s="135">
        <f>'Combatant Calculator'!K11</f>
        <v>0</v>
      </c>
      <c r="M11" s="135" t="str">
        <f>'Combatant Calculator'!L11</f>
        <v xml:space="preserve"> </v>
      </c>
      <c r="N11" s="160" t="str">
        <f>'Combatant Calculator'!M11</f>
        <v xml:space="preserve"> </v>
      </c>
      <c r="O11" s="135" t="str">
        <f>'Combatant Calculator'!N11</f>
        <v xml:space="preserve"> </v>
      </c>
      <c r="P11" s="111"/>
      <c r="Q11" s="163"/>
    </row>
    <row r="12" spans="1:17" x14ac:dyDescent="0.25">
      <c r="A12" s="166">
        <f>IF(A13=(TRUE),('Combatant Calculator'!$D$75),)</f>
        <v>0</v>
      </c>
      <c r="B12" s="166">
        <f>IF(B13=(TRUE),('Combatant Calculator'!$D$75),)</f>
        <v>0</v>
      </c>
      <c r="C12" s="166">
        <f>IF(C13=(TRUE),('Combatant Calculator'!$D$75),)</f>
        <v>0</v>
      </c>
      <c r="D12" s="166">
        <f>IF(D13=(TRUE),('Combatant Calculator'!$D$75),)</f>
        <v>0</v>
      </c>
      <c r="E12" s="166">
        <f>IF(E13=(TRUE),('Combatant Calculator'!$D$75),)</f>
        <v>0</v>
      </c>
      <c r="F12" s="163">
        <f>SUM(A12:E12)</f>
        <v>0</v>
      </c>
      <c r="G12" s="163"/>
      <c r="H12" s="136" t="str">
        <f>'Combatant Calculator'!G12</f>
        <v>None</v>
      </c>
      <c r="I12" s="101" t="str">
        <f>'Combatant Calculator'!H12</f>
        <v/>
      </c>
      <c r="J12" s="101" t="str">
        <f>'Combatant Calculator'!I12</f>
        <v/>
      </c>
      <c r="K12" s="104" t="str">
        <f>'Combatant Calculator'!J12</f>
        <v xml:space="preserve"> </v>
      </c>
      <c r="L12" s="104">
        <f>'Combatant Calculator'!K12</f>
        <v>0</v>
      </c>
      <c r="M12" s="209" t="str">
        <f>'Combatant Calculator'!L12</f>
        <v xml:space="preserve"> </v>
      </c>
      <c r="N12" s="104" t="str">
        <f>'Combatant Calculator'!M12</f>
        <v xml:space="preserve"> </v>
      </c>
      <c r="O12" s="100" t="str">
        <f>'Combatant Calculator'!N12</f>
        <v xml:space="preserve"> </v>
      </c>
      <c r="P12" s="137"/>
      <c r="Q12" s="163"/>
    </row>
    <row r="13" spans="1:17" x14ac:dyDescent="0.25">
      <c r="A13" s="223" t="b">
        <v>0</v>
      </c>
      <c r="B13" s="223" t="b">
        <v>0</v>
      </c>
      <c r="C13" s="223" t="b">
        <v>0</v>
      </c>
      <c r="D13" s="223" t="b">
        <v>0</v>
      </c>
      <c r="E13" s="223" t="b">
        <v>0</v>
      </c>
      <c r="F13" s="163"/>
      <c r="G13" s="163"/>
      <c r="H13" s="133" t="str">
        <f>'Combatant Calculator'!G13</f>
        <v>None</v>
      </c>
      <c r="I13" s="134" t="str">
        <f>'Combatant Calculator'!H13</f>
        <v/>
      </c>
      <c r="J13" s="134" t="str">
        <f>'Combatant Calculator'!I13</f>
        <v/>
      </c>
      <c r="K13" s="117" t="str">
        <f>'Combatant Calculator'!J13</f>
        <v xml:space="preserve"> </v>
      </c>
      <c r="L13" s="117">
        <f>'Combatant Calculator'!K13</f>
        <v>0</v>
      </c>
      <c r="M13" s="135" t="str">
        <f>'Combatant Calculator'!L13</f>
        <v xml:space="preserve"> </v>
      </c>
      <c r="N13" s="160" t="str">
        <f>'Combatant Calculator'!M13</f>
        <v xml:space="preserve"> </v>
      </c>
      <c r="O13" s="135" t="str">
        <f>'Combatant Calculator'!N13</f>
        <v xml:space="preserve"> </v>
      </c>
      <c r="P13" s="111"/>
      <c r="Q13" s="163"/>
    </row>
    <row r="14" spans="1:17" x14ac:dyDescent="0.25">
      <c r="A14" s="165" t="s">
        <v>207</v>
      </c>
      <c r="B14" s="165" t="s">
        <v>208</v>
      </c>
      <c r="C14" s="165" t="s">
        <v>209</v>
      </c>
      <c r="D14" s="165" t="s">
        <v>210</v>
      </c>
      <c r="E14" s="165" t="s">
        <v>211</v>
      </c>
      <c r="F14" s="163"/>
      <c r="G14" s="163"/>
      <c r="H14" s="65"/>
      <c r="I14" s="93"/>
      <c r="J14" s="93"/>
      <c r="K14" s="93"/>
      <c r="L14" s="93"/>
      <c r="M14" s="93"/>
      <c r="N14" s="93"/>
      <c r="O14" s="93"/>
      <c r="P14" s="138"/>
      <c r="Q14" s="163"/>
    </row>
    <row r="15" spans="1:17" x14ac:dyDescent="0.25">
      <c r="A15" s="166">
        <f>IF(A16=(TRUE),('Combatant Calculator'!$D$75),)</f>
        <v>0</v>
      </c>
      <c r="B15" s="166">
        <f>IF(B16=(TRUE),('Combatant Calculator'!$D$75),)</f>
        <v>0</v>
      </c>
      <c r="C15" s="166">
        <f>IF(C16=(TRUE),('Combatant Calculator'!$D$75),)</f>
        <v>0</v>
      </c>
      <c r="D15" s="166">
        <f>IF(D16=(TRUE),('Combatant Calculator'!$D$75),)</f>
        <v>0</v>
      </c>
      <c r="E15" s="166">
        <f>IF(E16=(TRUE),('Combatant Calculator'!$D$75),)</f>
        <v>0</v>
      </c>
      <c r="F15" s="163">
        <f>SUM(A15:E15)</f>
        <v>0</v>
      </c>
      <c r="G15" s="163"/>
      <c r="H15" s="139" t="s">
        <v>353</v>
      </c>
      <c r="I15" s="105"/>
      <c r="J15" s="105"/>
      <c r="K15" s="105"/>
      <c r="L15" s="105"/>
      <c r="M15" s="105"/>
      <c r="N15" s="106"/>
      <c r="O15" s="106"/>
      <c r="P15" s="137"/>
      <c r="Q15" s="163"/>
    </row>
    <row r="16" spans="1:17" x14ac:dyDescent="0.25">
      <c r="A16" s="223" t="b">
        <v>0</v>
      </c>
      <c r="B16" s="223" t="b">
        <v>0</v>
      </c>
      <c r="C16" s="223" t="b">
        <v>0</v>
      </c>
      <c r="D16" s="223" t="b">
        <v>0</v>
      </c>
      <c r="E16" s="223" t="b">
        <v>0</v>
      </c>
      <c r="F16" s="163"/>
      <c r="G16" s="163"/>
      <c r="H16" s="136"/>
      <c r="I16" s="106"/>
      <c r="J16" s="106"/>
      <c r="K16" s="106"/>
      <c r="L16" s="106"/>
      <c r="M16" s="106"/>
      <c r="N16" s="106"/>
      <c r="O16" s="106"/>
      <c r="P16" s="137"/>
      <c r="Q16" s="163"/>
    </row>
    <row r="17" spans="1:17" x14ac:dyDescent="0.25">
      <c r="A17" s="165" t="s">
        <v>212</v>
      </c>
      <c r="B17" s="165" t="s">
        <v>213</v>
      </c>
      <c r="C17" s="165" t="s">
        <v>214</v>
      </c>
      <c r="D17" s="165" t="s">
        <v>215</v>
      </c>
      <c r="E17" s="165" t="s">
        <v>216</v>
      </c>
      <c r="F17" s="163"/>
      <c r="G17" s="163"/>
      <c r="H17" s="140"/>
      <c r="I17" s="105"/>
      <c r="J17" s="105"/>
      <c r="K17" s="105"/>
      <c r="L17" s="107"/>
      <c r="M17" s="107"/>
      <c r="N17" s="106"/>
      <c r="O17" s="106"/>
      <c r="P17" s="137"/>
      <c r="Q17" s="163"/>
    </row>
    <row r="18" spans="1:17" x14ac:dyDescent="0.25">
      <c r="A18" s="166">
        <f>IF(A19=(TRUE),('Combatant Calculator'!$D$75),)</f>
        <v>0</v>
      </c>
      <c r="B18" s="166">
        <f>IF(B19=(TRUE),('Combatant Calculator'!$D$75),)</f>
        <v>0</v>
      </c>
      <c r="C18" s="166">
        <f>IF(C19=(TRUE),('Combatant Calculator'!$D$75),)</f>
        <v>0</v>
      </c>
      <c r="D18" s="166">
        <f>IF(D19=(TRUE),('Combatant Calculator'!$D$75),)</f>
        <v>0</v>
      </c>
      <c r="E18" s="166">
        <f>IF(E19=(TRUE),('Combatant Calculator'!$D$75),)</f>
        <v>0</v>
      </c>
      <c r="F18" s="163">
        <f>SUM(A18:E18)</f>
        <v>0</v>
      </c>
      <c r="G18" s="163"/>
      <c r="H18" s="140"/>
      <c r="I18" s="105"/>
      <c r="J18" s="105"/>
      <c r="K18" s="105"/>
      <c r="L18" s="108"/>
      <c r="M18" s="108"/>
      <c r="N18" s="106"/>
      <c r="O18" s="106"/>
      <c r="P18" s="137"/>
      <c r="Q18" s="163"/>
    </row>
    <row r="19" spans="1:17" x14ac:dyDescent="0.25">
      <c r="A19" s="223" t="b">
        <v>0</v>
      </c>
      <c r="B19" s="223" t="b">
        <v>0</v>
      </c>
      <c r="C19" s="223" t="b">
        <v>0</v>
      </c>
      <c r="D19" s="223" t="b">
        <v>0</v>
      </c>
      <c r="E19" s="223" t="b">
        <v>0</v>
      </c>
      <c r="F19" s="163"/>
      <c r="G19" s="163"/>
      <c r="H19" s="140"/>
      <c r="I19" s="105"/>
      <c r="J19" s="105"/>
      <c r="K19" s="105"/>
      <c r="L19" s="108"/>
      <c r="M19" s="108"/>
      <c r="N19" s="106"/>
      <c r="O19" s="106"/>
      <c r="P19" s="137"/>
      <c r="Q19" s="163"/>
    </row>
    <row r="20" spans="1:17" x14ac:dyDescent="0.25">
      <c r="A20" s="165" t="s">
        <v>217</v>
      </c>
      <c r="B20" s="165" t="s">
        <v>218</v>
      </c>
      <c r="C20" s="165" t="s">
        <v>219</v>
      </c>
      <c r="D20" s="165" t="s">
        <v>220</v>
      </c>
      <c r="E20" s="165" t="s">
        <v>221</v>
      </c>
      <c r="F20" s="163"/>
      <c r="G20" s="163"/>
      <c r="H20" s="140"/>
      <c r="I20" s="105"/>
      <c r="J20" s="105"/>
      <c r="K20" s="105"/>
      <c r="L20" s="108"/>
      <c r="M20" s="108"/>
      <c r="N20" s="106"/>
      <c r="O20" s="106"/>
      <c r="P20" s="137"/>
      <c r="Q20" s="163"/>
    </row>
    <row r="21" spans="1:17" x14ac:dyDescent="0.25">
      <c r="A21" s="166">
        <f>IF(A22=(TRUE),('Combatant Calculator'!$D$75),)</f>
        <v>0</v>
      </c>
      <c r="B21" s="166">
        <f>IF(B22=(TRUE),('Combatant Calculator'!$D$75),)</f>
        <v>0</v>
      </c>
      <c r="C21" s="166">
        <f>IF(C22=(TRUE),('Combatant Calculator'!$D$75),)</f>
        <v>0</v>
      </c>
      <c r="D21" s="166">
        <f>IF(D22=(TRUE),('Combatant Calculator'!$D$75),)</f>
        <v>0</v>
      </c>
      <c r="E21" s="166">
        <f>IF(E22=(TRUE),('Combatant Calculator'!$D$75),)</f>
        <v>0</v>
      </c>
      <c r="F21" s="163">
        <f>SUM(A21:E21)</f>
        <v>0</v>
      </c>
      <c r="G21" s="163"/>
      <c r="H21" s="140"/>
      <c r="I21" s="105"/>
      <c r="J21" s="105"/>
      <c r="K21" s="105"/>
      <c r="L21" s="108"/>
      <c r="M21" s="108"/>
      <c r="N21" s="106"/>
      <c r="O21" s="106"/>
      <c r="P21" s="137"/>
      <c r="Q21" s="163"/>
    </row>
    <row r="22" spans="1:17" x14ac:dyDescent="0.25">
      <c r="A22" s="223" t="b">
        <v>0</v>
      </c>
      <c r="B22" s="223" t="b">
        <v>0</v>
      </c>
      <c r="C22" s="223" t="b">
        <v>0</v>
      </c>
      <c r="D22" s="223" t="b">
        <v>0</v>
      </c>
      <c r="E22" s="223" t="b">
        <v>0</v>
      </c>
      <c r="F22" s="163"/>
      <c r="G22" s="163"/>
      <c r="H22" s="143"/>
      <c r="I22" s="122"/>
      <c r="J22" s="122"/>
      <c r="K22" s="122"/>
      <c r="L22" s="122"/>
      <c r="M22" s="122"/>
      <c r="N22" s="122"/>
      <c r="O22" s="123"/>
      <c r="P22" s="121"/>
      <c r="Q22" s="163"/>
    </row>
    <row r="23" spans="1:17" x14ac:dyDescent="0.25">
      <c r="A23" s="165" t="s">
        <v>222</v>
      </c>
      <c r="B23" s="165" t="s">
        <v>223</v>
      </c>
      <c r="C23" s="165" t="s">
        <v>224</v>
      </c>
      <c r="D23" s="165" t="s">
        <v>225</v>
      </c>
      <c r="E23" s="165" t="s">
        <v>226</v>
      </c>
      <c r="F23" s="163"/>
      <c r="G23" s="163"/>
      <c r="H23" s="143"/>
      <c r="I23" s="122"/>
      <c r="J23" s="122"/>
      <c r="K23" s="122"/>
      <c r="L23" s="122"/>
      <c r="M23" s="122"/>
      <c r="N23" s="122"/>
      <c r="O23" s="123"/>
      <c r="P23" s="121"/>
      <c r="Q23" s="163"/>
    </row>
    <row r="24" spans="1:17" x14ac:dyDescent="0.25">
      <c r="A24" s="166">
        <f>IF(A25=(TRUE),('Combatant Calculator'!$D$75),)</f>
        <v>0</v>
      </c>
      <c r="B24" s="166">
        <f>IF(B25=(TRUE),('Combatant Calculator'!$D$75),)</f>
        <v>0</v>
      </c>
      <c r="C24" s="166">
        <f>IF(C25=(TRUE),('Combatant Calculator'!$D$75),)</f>
        <v>0</v>
      </c>
      <c r="D24" s="166">
        <f>IF(D25=(TRUE),('Combatant Calculator'!$D$75),)</f>
        <v>0</v>
      </c>
      <c r="E24" s="166">
        <f>IF(E25=(TRUE),('Combatant Calculator'!$D$75),)</f>
        <v>0</v>
      </c>
      <c r="F24" s="163">
        <f>SUM(A24:E24)</f>
        <v>0</v>
      </c>
      <c r="G24" s="163"/>
      <c r="H24" s="132" t="s">
        <v>240</v>
      </c>
      <c r="I24" s="102" t="s">
        <v>338</v>
      </c>
      <c r="J24" s="131"/>
      <c r="K24" s="102" t="s">
        <v>337</v>
      </c>
      <c r="L24" s="183"/>
      <c r="M24" s="183"/>
      <c r="N24" s="102" t="s">
        <v>4</v>
      </c>
      <c r="O24" s="102" t="s">
        <v>29</v>
      </c>
      <c r="P24" s="130"/>
      <c r="Q24" s="163"/>
    </row>
    <row r="25" spans="1:17" x14ac:dyDescent="0.25">
      <c r="A25" s="223" t="b">
        <v>0</v>
      </c>
      <c r="B25" s="223" t="b">
        <v>0</v>
      </c>
      <c r="C25" s="223" t="b">
        <v>0</v>
      </c>
      <c r="D25" s="223" t="b">
        <v>0</v>
      </c>
      <c r="E25" s="223" t="b">
        <v>0</v>
      </c>
      <c r="F25" s="163"/>
      <c r="G25" s="163"/>
      <c r="H25" s="144"/>
      <c r="I25" s="171" t="s">
        <v>356</v>
      </c>
      <c r="J25" s="172" t="s">
        <v>355</v>
      </c>
      <c r="K25" s="170" t="s">
        <v>356</v>
      </c>
      <c r="L25" s="173" t="s">
        <v>355</v>
      </c>
      <c r="M25" s="173"/>
      <c r="N25" s="170" t="s">
        <v>354</v>
      </c>
      <c r="O25" s="170" t="s">
        <v>354</v>
      </c>
      <c r="P25" s="137"/>
      <c r="Q25" s="163"/>
    </row>
    <row r="26" spans="1:17" x14ac:dyDescent="0.25">
      <c r="A26" s="165" t="s">
        <v>227</v>
      </c>
      <c r="B26" s="165" t="s">
        <v>228</v>
      </c>
      <c r="C26" s="165" t="s">
        <v>229</v>
      </c>
      <c r="D26" s="165" t="s">
        <v>230</v>
      </c>
      <c r="E26" s="165" t="s">
        <v>231</v>
      </c>
      <c r="F26" s="163"/>
      <c r="G26" s="163"/>
      <c r="H26" s="145" t="str">
        <f>D35</f>
        <v>Battle Order</v>
      </c>
      <c r="I26" s="117">
        <f>IF($H$26="none"," ",INDEX(FormationModification,MATCH($H$26,Tabellen!$AB$124:$AB$131,0),2))</f>
        <v>2</v>
      </c>
      <c r="J26" s="117">
        <f>IF($H$26="none"," ",INDEX(FormationModification,MATCH($H$26,Tabellen!$AB$124:$AB$131,0),3))</f>
        <v>2</v>
      </c>
      <c r="K26" s="117">
        <f>IF($H$26="none"," ",INDEX(FormationModification,MATCH($H$26,Tabellen!$AB$124:$AB$131,0),4))</f>
        <v>0</v>
      </c>
      <c r="L26" s="117">
        <f>IF($H$26="none"," ",INDEX(FormationModification,MATCH($H$26,Tabellen!$AB$124:$AB$131,0),5))</f>
        <v>-1</v>
      </c>
      <c r="M26" s="117"/>
      <c r="N26" s="117">
        <f>IF($H$26="none"," ",INDEX(FormationModification,MATCH($H$26,Tabellen!$AB$124:$AB$131,0),6))</f>
        <v>2</v>
      </c>
      <c r="O26" s="117" t="str">
        <f>IF($H$26="none"," ",INDEX(FormationModification,MATCH($H$26,Tabellen!$AB$124:$AB$131,0),7))</f>
        <v>x1</v>
      </c>
      <c r="P26" s="111"/>
      <c r="Q26" s="163"/>
    </row>
    <row r="27" spans="1:17" x14ac:dyDescent="0.25">
      <c r="A27" s="166">
        <f>IF(A28=(TRUE),('Combatant Calculator'!$D$75),)</f>
        <v>0</v>
      </c>
      <c r="B27" s="166">
        <f>IF(B28=(TRUE),('Combatant Calculator'!$D$75),)</f>
        <v>0</v>
      </c>
      <c r="C27" s="166">
        <f>IF(C28=(TRUE),('Combatant Calculator'!$D$75),)</f>
        <v>0</v>
      </c>
      <c r="D27" s="166">
        <f>IF(D28=(TRUE),('Combatant Calculator'!$D$75),)</f>
        <v>0</v>
      </c>
      <c r="E27" s="166">
        <f>IF(E28=(TRUE),('Combatant Calculator'!$D$75),)</f>
        <v>0</v>
      </c>
      <c r="F27" s="163">
        <f>SUM(A27:E27)</f>
        <v>0</v>
      </c>
      <c r="G27" s="163"/>
      <c r="H27" s="144" t="str">
        <f>D37</f>
        <v>General Order</v>
      </c>
      <c r="I27" s="182">
        <f>IF($H$27="none"," ",INDEX(FormationModification,MATCH($H$27,Tabellen!$AB$124:$AB$131,0),2))</f>
        <v>0</v>
      </c>
      <c r="J27" s="182">
        <f>IF($H$27="none"," ",INDEX(FormationModification,MATCH($H$27,Tabellen!$AB$124:$AB$131,0),3))</f>
        <v>0</v>
      </c>
      <c r="K27" s="182">
        <f>IF($H$27="none"," ",INDEX(FormationModification,MATCH($H$27,Tabellen!$AB$124:$AB$131,0),4))</f>
        <v>1</v>
      </c>
      <c r="L27" s="182">
        <f>IF($H$27="none"," ",INDEX(FormationModification,MATCH($H$27,Tabellen!$AB$124:$AB$131,0),5))</f>
        <v>0</v>
      </c>
      <c r="M27" s="182"/>
      <c r="N27" s="182">
        <f>IF($H$27="none"," ",INDEX(FormationModification,MATCH($H$27,Tabellen!$AB$124:$AB$131,0),6))</f>
        <v>1</v>
      </c>
      <c r="O27" s="182" t="str">
        <f>IF($H$27="none"," ",INDEX(FormationModification,MATCH($H$27,Tabellen!$AB$124:$AB$131,0),7))</f>
        <v>x1</v>
      </c>
      <c r="P27" s="137"/>
      <c r="Q27" s="163"/>
    </row>
    <row r="28" spans="1:17" x14ac:dyDescent="0.25">
      <c r="A28" s="223" t="b">
        <v>0</v>
      </c>
      <c r="B28" s="223" t="b">
        <v>0</v>
      </c>
      <c r="C28" s="223" t="b">
        <v>0</v>
      </c>
      <c r="D28" s="223" t="b">
        <v>0</v>
      </c>
      <c r="E28" s="223" t="b">
        <v>0</v>
      </c>
      <c r="F28" s="163"/>
      <c r="G28" s="163"/>
      <c r="H28" s="145" t="str">
        <f>D39</f>
        <v>None</v>
      </c>
      <c r="I28" s="117" t="str">
        <f>IF($H$28="none"," ",INDEX(FormationModification,MATCH($H$28,Tabellen!$AB$124:$AB$131,0),2))</f>
        <v xml:space="preserve"> </v>
      </c>
      <c r="J28" s="117" t="str">
        <f>IF($H$28="none"," ",INDEX(FormationModification,MATCH($H$28,Tabellen!$AB$124:$AB$131,0),3))</f>
        <v xml:space="preserve"> </v>
      </c>
      <c r="K28" s="117" t="str">
        <f>IF($H$28="none"," ",INDEX(FormationModification,MATCH($H$28,Tabellen!$AB$124:$AB$131,0),4))</f>
        <v xml:space="preserve"> </v>
      </c>
      <c r="L28" s="117" t="str">
        <f>IF($H$28="none"," ",INDEX(FormationModification,MATCH($H$28,Tabellen!$AB$124:$AB$131,0),5))</f>
        <v xml:space="preserve"> </v>
      </c>
      <c r="M28" s="117"/>
      <c r="N28" s="117" t="str">
        <f>IF($H$28="none"," ",INDEX(FormationModification,MATCH($H$28,Tabellen!$AB$124:$AB$131,0),6))</f>
        <v xml:space="preserve"> </v>
      </c>
      <c r="O28" s="117" t="str">
        <f>IF($H$28="none"," ",INDEX(FormationModification,MATCH($H$28,Tabellen!$AB$124:$AB$131,0),7))</f>
        <v xml:space="preserve"> </v>
      </c>
      <c r="P28" s="111"/>
      <c r="Q28" s="163"/>
    </row>
    <row r="29" spans="1:17" x14ac:dyDescent="0.25">
      <c r="A29" s="163"/>
      <c r="B29" s="163"/>
      <c r="C29" s="163"/>
      <c r="D29" s="163"/>
      <c r="E29" s="163"/>
      <c r="F29" s="163"/>
      <c r="G29" s="163"/>
      <c r="H29" s="144" t="str">
        <f>D41</f>
        <v>None</v>
      </c>
      <c r="I29" s="182" t="str">
        <f>IF($H$29="none"," ",INDEX(FormationModification,MATCH($H$29,Tabellen!$AB$124:$AB$131,0),2))</f>
        <v xml:space="preserve"> </v>
      </c>
      <c r="J29" s="182" t="str">
        <f>IF($H$29="none"," ",INDEX(FormationModification,MATCH($H$29,Tabellen!$AB$124:$AB$131,0),3))</f>
        <v xml:space="preserve"> </v>
      </c>
      <c r="K29" s="182" t="str">
        <f>IF($H$29="none"," ",INDEX(FormationModification,MATCH($H$29,Tabellen!$AB$124:$AB$131,0),4))</f>
        <v xml:space="preserve"> </v>
      </c>
      <c r="L29" s="182" t="str">
        <f>IF($H$29="none"," ",INDEX(FormationModification,MATCH($H$29,Tabellen!$AB$124:$AB$131,0),5))</f>
        <v xml:space="preserve"> </v>
      </c>
      <c r="M29" s="182"/>
      <c r="N29" s="182" t="str">
        <f>IF($H$29="none"," ",INDEX(FormationModification,MATCH($H$29,Tabellen!$AB$124:$AB$131,0),6))</f>
        <v xml:space="preserve"> </v>
      </c>
      <c r="O29" s="182" t="str">
        <f>IF($H$29="none"," ",INDEX(FormationModification,MATCH($H$29,Tabellen!$AB$124:$AB$131,0),7))</f>
        <v xml:space="preserve"> </v>
      </c>
      <c r="P29" s="137"/>
      <c r="Q29" s="163"/>
    </row>
    <row r="30" spans="1:17" x14ac:dyDescent="0.25">
      <c r="A30" s="163"/>
      <c r="B30" s="167"/>
      <c r="C30" s="167" t="s">
        <v>244</v>
      </c>
      <c r="D30" s="167"/>
      <c r="E30" s="163"/>
      <c r="F30" s="163"/>
      <c r="G30" s="163"/>
      <c r="H30" s="145" t="str">
        <f>D43</f>
        <v>None</v>
      </c>
      <c r="I30" s="117" t="str">
        <f>IF($H$30="none"," ",INDEX(FormationModification,MATCH($H$30,Tabellen!$AB$124:$AB$131,0),2))</f>
        <v xml:space="preserve"> </v>
      </c>
      <c r="J30" s="117" t="str">
        <f>IF($H$30="none"," ",INDEX(FormationModification,MATCH($H$30,Tabellen!$AB$124:$AB$131,0),3))</f>
        <v xml:space="preserve"> </v>
      </c>
      <c r="K30" s="117" t="str">
        <f>IF($H$30="none"," ",INDEX(FormationModification,MATCH($H$30,Tabellen!$AB$124:$AB$131,0),4))</f>
        <v xml:space="preserve"> </v>
      </c>
      <c r="L30" s="117" t="str">
        <f>IF($H$30="none"," ",INDEX(FormationModification,MATCH($H$30,Tabellen!$AB$124:$AB$131,0),5))</f>
        <v xml:space="preserve"> </v>
      </c>
      <c r="M30" s="117"/>
      <c r="N30" s="117" t="str">
        <f>IF($H$30="none"," ",INDEX(FormationModification,MATCH($H$30,Tabellen!$AB$124:$AB$131,0),6))</f>
        <v xml:space="preserve"> </v>
      </c>
      <c r="O30" s="117" t="str">
        <f>IF($H$30="none"," ",INDEX(FormationModification,MATCH($H$30,Tabellen!$AB$124:$AB$131,0),7))</f>
        <v xml:space="preserve"> </v>
      </c>
      <c r="P30" s="111"/>
      <c r="Q30" s="163"/>
    </row>
    <row r="31" spans="1:17" x14ac:dyDescent="0.25">
      <c r="A31" s="163"/>
      <c r="B31" s="168"/>
      <c r="C31" s="168" t="s">
        <v>245</v>
      </c>
      <c r="D31" s="168"/>
      <c r="E31" s="163"/>
      <c r="F31" s="163"/>
      <c r="G31" s="163"/>
      <c r="H31" s="143"/>
      <c r="I31" s="122"/>
      <c r="J31" s="122"/>
      <c r="K31" s="122"/>
      <c r="L31" s="122"/>
      <c r="M31" s="122"/>
      <c r="N31" s="122"/>
      <c r="O31" s="123"/>
      <c r="P31" s="121"/>
      <c r="Q31" s="163"/>
    </row>
    <row r="32" spans="1:17" x14ac:dyDescent="0.25">
      <c r="A32" s="163"/>
      <c r="B32" s="163"/>
      <c r="C32" s="163"/>
      <c r="D32" s="163"/>
      <c r="E32" s="163"/>
      <c r="F32" s="163"/>
      <c r="G32" s="163"/>
      <c r="H32" s="132" t="s">
        <v>343</v>
      </c>
      <c r="I32" s="125"/>
      <c r="J32" s="125"/>
      <c r="K32" s="94" t="s">
        <v>66</v>
      </c>
      <c r="L32" s="94"/>
      <c r="M32" s="94"/>
      <c r="N32" s="146" t="s">
        <v>78</v>
      </c>
      <c r="O32" s="94"/>
      <c r="P32" s="130" t="s">
        <v>344</v>
      </c>
      <c r="Q32" s="163"/>
    </row>
    <row r="33" spans="1:17" x14ac:dyDescent="0.25">
      <c r="A33" s="176" t="s">
        <v>357</v>
      </c>
      <c r="B33" s="177"/>
      <c r="C33" s="177"/>
      <c r="D33" s="177"/>
      <c r="E33" s="177"/>
      <c r="F33" s="175" t="s">
        <v>11</v>
      </c>
      <c r="G33" s="163"/>
      <c r="H33" s="136"/>
      <c r="I33" s="129"/>
      <c r="J33" s="106"/>
      <c r="K33" s="106" t="str">
        <f>'Combatant Calculator'!J33</f>
        <v>Human</v>
      </c>
      <c r="L33" s="106"/>
      <c r="M33" s="106"/>
      <c r="N33" s="106" t="str">
        <f>'Combatant Calculator'!M33</f>
        <v>Medium</v>
      </c>
      <c r="O33" s="141"/>
      <c r="P33" s="161">
        <f>F47</f>
        <v>470</v>
      </c>
      <c r="Q33" s="163"/>
    </row>
    <row r="34" spans="1:17" s="99" customFormat="1" ht="15.75" thickBot="1" x14ac:dyDescent="0.3">
      <c r="A34" s="174"/>
      <c r="B34" s="163"/>
      <c r="C34" s="163"/>
      <c r="D34" s="163"/>
      <c r="E34" s="163"/>
      <c r="F34" s="163"/>
      <c r="G34" s="163"/>
      <c r="H34" s="61"/>
      <c r="I34" s="62"/>
      <c r="J34" s="62"/>
      <c r="K34" s="62"/>
      <c r="L34" s="62"/>
      <c r="M34" s="62"/>
      <c r="N34" s="62"/>
      <c r="O34" s="62"/>
      <c r="P34" s="63"/>
      <c r="Q34" s="163"/>
    </row>
    <row r="35" spans="1:17" x14ac:dyDescent="0.25">
      <c r="A35" s="163"/>
      <c r="B35" s="178" t="s">
        <v>359</v>
      </c>
      <c r="C35" s="163"/>
      <c r="D35" s="224" t="s">
        <v>232</v>
      </c>
      <c r="E35" s="163"/>
      <c r="F35" s="163">
        <f>VLOOKUP(D35,Formations,2,FALSE)</f>
        <v>0</v>
      </c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</row>
    <row r="36" spans="1:17" x14ac:dyDescent="0.25">
      <c r="A36" s="163"/>
      <c r="B36" s="179" t="s">
        <v>246</v>
      </c>
      <c r="C36" s="163"/>
      <c r="D36" s="196">
        <v>9</v>
      </c>
      <c r="E36" s="163"/>
      <c r="F36" s="169">
        <f>IF(ISNA(INDEX(Tabellen!$AG$135:$AP$145,MATCH(D36,Tabellen!$AG$135:$AG$145,0),MATCH('Unit Calculator'!D35,Tabellen!$AH$135:$AP$135,0)+1)),"0",INDEX(Tabellen!$AG$135:$AP$145,MATCH(D36,Tabellen!$AG$135:$AG$145,0),MATCH('Unit Calculator'!D35,Tabellen!$AH$135:$AP$135,0)+1))</f>
        <v>10</v>
      </c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</row>
    <row r="37" spans="1:17" x14ac:dyDescent="0.25">
      <c r="A37" s="163"/>
      <c r="B37" s="178" t="s">
        <v>360</v>
      </c>
      <c r="C37" s="163"/>
      <c r="D37" s="224" t="s">
        <v>233</v>
      </c>
      <c r="E37" s="163"/>
      <c r="F37" s="163">
        <f>VLOOKUP(D37,Formations,2,FALSE)</f>
        <v>0</v>
      </c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</row>
    <row r="38" spans="1:17" x14ac:dyDescent="0.25">
      <c r="A38" s="163"/>
      <c r="B38" s="179" t="s">
        <v>246</v>
      </c>
      <c r="C38" s="163"/>
      <c r="D38" s="196">
        <v>9</v>
      </c>
      <c r="E38" s="163"/>
      <c r="F38" s="169">
        <f>IF(ISNA(INDEX(Tabellen!$AG$135:$AP$145,MATCH(D38,Tabellen!$AG$135:$AG$145,0),MATCH('Unit Calculator'!D37,Tabellen!$AH$135:$AP$135,0)+1)),"0",INDEX(Tabellen!$AG$135:$AP$145,MATCH(D38,Tabellen!$AG$135:$AG$145,0),MATCH('Unit Calculator'!D37,Tabellen!$AH$135:$AP$135,0)+1))</f>
        <v>10</v>
      </c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</row>
    <row r="39" spans="1:17" x14ac:dyDescent="0.25">
      <c r="A39" s="163"/>
      <c r="B39" s="178" t="s">
        <v>361</v>
      </c>
      <c r="C39" s="163"/>
      <c r="D39" s="224" t="s">
        <v>243</v>
      </c>
      <c r="E39" s="163"/>
      <c r="F39" s="163">
        <f>VLOOKUP(D39,Formations,2,FALSE)</f>
        <v>0</v>
      </c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</row>
    <row r="40" spans="1:17" x14ac:dyDescent="0.25">
      <c r="A40" s="163"/>
      <c r="B40" s="179" t="s">
        <v>246</v>
      </c>
      <c r="C40" s="163"/>
      <c r="D40" s="196"/>
      <c r="E40" s="163"/>
      <c r="F40" s="169" t="str">
        <f>IF(ISNA(INDEX(Tabellen!$AG$135:$AP$145,MATCH(D40,Tabellen!$AG$135:$AG$145,0),MATCH('Unit Calculator'!D39,Tabellen!$AH$135:$AP$135,0)+1)),"0",INDEX(Tabellen!$AG$135:$AP$145,MATCH(D40,Tabellen!$AG$135:$AG$145,0),MATCH('Unit Calculator'!D39,Tabellen!$AH$135:$AP$135,0)+1))</f>
        <v>0</v>
      </c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</row>
    <row r="41" spans="1:17" x14ac:dyDescent="0.25">
      <c r="A41" s="163"/>
      <c r="B41" s="178" t="s">
        <v>362</v>
      </c>
      <c r="C41" s="163"/>
      <c r="D41" s="224" t="s">
        <v>243</v>
      </c>
      <c r="E41" s="163"/>
      <c r="F41" s="163">
        <f>VLOOKUP(D41,Formations,2,FALSE)</f>
        <v>0</v>
      </c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</row>
    <row r="42" spans="1:17" x14ac:dyDescent="0.25">
      <c r="A42" s="163"/>
      <c r="B42" s="179" t="s">
        <v>246</v>
      </c>
      <c r="C42" s="163"/>
      <c r="D42" s="196"/>
      <c r="E42" s="163"/>
      <c r="F42" s="169" t="str">
        <f>IF(ISNA(INDEX(Tabellen!$AG$135:$AP$145,MATCH(D42,Tabellen!$AG$135:$AG$145,0),MATCH('Unit Calculator'!D41,Tabellen!$AH$135:$AP$135,0)+1)),"0",INDEX(Tabellen!$AG$135:$AP$145,MATCH(D42,Tabellen!$AG$135:$AG$145,0),MATCH('Unit Calculator'!D41,Tabellen!$AH$135:$AP$135,0)+1))</f>
        <v>0</v>
      </c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</row>
    <row r="43" spans="1:17" x14ac:dyDescent="0.25">
      <c r="A43" s="163"/>
      <c r="B43" s="178" t="s">
        <v>363</v>
      </c>
      <c r="C43" s="163"/>
      <c r="D43" s="224" t="s">
        <v>243</v>
      </c>
      <c r="E43" s="163"/>
      <c r="F43" s="163">
        <f>VLOOKUP(D43,Formations,2,FALSE)</f>
        <v>0</v>
      </c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</row>
    <row r="44" spans="1:17" x14ac:dyDescent="0.25">
      <c r="A44" s="163"/>
      <c r="B44" s="179" t="s">
        <v>246</v>
      </c>
      <c r="C44" s="163"/>
      <c r="D44" s="196"/>
      <c r="E44" s="163"/>
      <c r="F44" s="169" t="str">
        <f>IF(ISNA(INDEX(Tabellen!$AG$135:$AP$145,MATCH(D44,Tabellen!$AG$135:$AG$145,0),MATCH('Unit Calculator'!D43,Tabellen!$AH$135:$AP$135,0)+1)),"0",INDEX(Tabellen!$AG$135:$AP$145,MATCH(D44,Tabellen!$AG$135:$AG$145,0),MATCH('Unit Calculator'!D43,Tabellen!$AH$135:$AP$135,0)+1))</f>
        <v>0</v>
      </c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</row>
    <row r="45" spans="1:17" x14ac:dyDescent="0.25">
      <c r="A45" s="163"/>
      <c r="B45" s="163"/>
      <c r="C45" s="163"/>
      <c r="D45" s="163"/>
      <c r="E45" s="163"/>
      <c r="F45" s="163"/>
      <c r="G45" s="163"/>
      <c r="H45" s="239" t="s">
        <v>376</v>
      </c>
      <c r="I45" s="240"/>
      <c r="J45" s="240"/>
      <c r="K45" s="240"/>
      <c r="L45" s="240"/>
      <c r="M45" s="240"/>
      <c r="N45" s="240"/>
      <c r="O45" s="240"/>
      <c r="P45" s="240"/>
      <c r="Q45" s="163"/>
    </row>
    <row r="46" spans="1:17" x14ac:dyDescent="0.25">
      <c r="A46" s="177"/>
      <c r="B46" s="177"/>
      <c r="C46" s="177"/>
      <c r="D46" s="177"/>
      <c r="E46" s="177"/>
      <c r="F46" s="177"/>
      <c r="G46" s="180"/>
      <c r="H46" s="240"/>
      <c r="I46" s="240"/>
      <c r="J46" s="240"/>
      <c r="K46" s="240"/>
      <c r="L46" s="240"/>
      <c r="M46" s="240"/>
      <c r="N46" s="240"/>
      <c r="O46" s="240"/>
      <c r="P46" s="240"/>
      <c r="Q46" s="163"/>
    </row>
    <row r="47" spans="1:17" ht="15.75" thickBot="1" x14ac:dyDescent="0.3">
      <c r="A47" s="163"/>
      <c r="B47" s="163"/>
      <c r="C47" s="163"/>
      <c r="D47" s="163"/>
      <c r="E47" s="215" t="s">
        <v>471</v>
      </c>
      <c r="F47" s="216">
        <f>SUM(F5:F44)</f>
        <v>470</v>
      </c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</row>
    <row r="48" spans="1:17" ht="15.75" thickTop="1" x14ac:dyDescent="0.25">
      <c r="A48" s="163"/>
      <c r="B48" s="163"/>
      <c r="C48" s="163"/>
      <c r="D48" s="180"/>
      <c r="E48" s="213"/>
      <c r="F48" s="214"/>
      <c r="G48" s="180"/>
      <c r="H48" s="163"/>
      <c r="I48" s="163"/>
      <c r="J48" s="163"/>
      <c r="K48" s="163"/>
      <c r="L48" s="163"/>
      <c r="M48" s="163"/>
      <c r="N48" s="163"/>
      <c r="O48" s="163"/>
      <c r="P48" s="163"/>
      <c r="Q48" s="163"/>
    </row>
    <row r="49" spans="1:17" x14ac:dyDescent="0.25">
      <c r="A49" s="163"/>
      <c r="B49" s="163"/>
      <c r="C49" s="163"/>
      <c r="D49" s="163"/>
      <c r="E49" s="207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</row>
    <row r="50" spans="1:17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</row>
    <row r="51" spans="1:17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</row>
    <row r="52" spans="1:17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</row>
    <row r="53" spans="1:17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</row>
    <row r="54" spans="1:17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</row>
  </sheetData>
  <sheetProtection password="FDBB" sheet="1" objects="1" scenarios="1" selectLockedCells="1"/>
  <mergeCells count="3">
    <mergeCell ref="I5:L5"/>
    <mergeCell ref="H45:P46"/>
    <mergeCell ref="I4:P4"/>
  </mergeCells>
  <conditionalFormatting sqref="J11">
    <cfRule type="expression" dxfId="72" priority="27">
      <formula>$J$11="+0D10"</formula>
    </cfRule>
  </conditionalFormatting>
  <conditionalFormatting sqref="J10">
    <cfRule type="expression" dxfId="71" priority="26">
      <formula>$J$10="+0D10"</formula>
    </cfRule>
  </conditionalFormatting>
  <conditionalFormatting sqref="K10">
    <cfRule type="expression" dxfId="70" priority="25">
      <formula>$K$10=0</formula>
    </cfRule>
  </conditionalFormatting>
  <conditionalFormatting sqref="N10">
    <cfRule type="expression" dxfId="69" priority="24">
      <formula>$N$10=0</formula>
    </cfRule>
  </conditionalFormatting>
  <conditionalFormatting sqref="N11">
    <cfRule type="expression" dxfId="68" priority="23">
      <formula>$N$11=0</formula>
    </cfRule>
  </conditionalFormatting>
  <conditionalFormatting sqref="N12">
    <cfRule type="expression" dxfId="67" priority="22">
      <formula>$N$12=0</formula>
    </cfRule>
  </conditionalFormatting>
  <conditionalFormatting sqref="O11">
    <cfRule type="expression" dxfId="66" priority="15">
      <formula>$N$11="-2 per -1"""</formula>
    </cfRule>
    <cfRule type="expression" dxfId="65" priority="21">
      <formula>$N$11="-2 per 0"""</formula>
    </cfRule>
  </conditionalFormatting>
  <conditionalFormatting sqref="O10">
    <cfRule type="expression" dxfId="64" priority="16">
      <formula>$N$10="-2 per -1"""</formula>
    </cfRule>
    <cfRule type="expression" dxfId="63" priority="20">
      <formula>$N$10="-2 per 0"""</formula>
    </cfRule>
  </conditionalFormatting>
  <conditionalFormatting sqref="O12">
    <cfRule type="expression" dxfId="62" priority="14">
      <formula>$N$12="-2 per -1"""</formula>
    </cfRule>
    <cfRule type="expression" dxfId="61" priority="19">
      <formula>$N$12="-2 per 0"""</formula>
    </cfRule>
  </conditionalFormatting>
  <conditionalFormatting sqref="K11">
    <cfRule type="expression" dxfId="60" priority="18">
      <formula>$K$11=0</formula>
    </cfRule>
  </conditionalFormatting>
  <conditionalFormatting sqref="K12">
    <cfRule type="expression" dxfId="59" priority="17">
      <formula>$K$12=0</formula>
    </cfRule>
  </conditionalFormatting>
  <conditionalFormatting sqref="J12">
    <cfRule type="expression" dxfId="58" priority="13">
      <formula>$J$11="+0D10"</formula>
    </cfRule>
  </conditionalFormatting>
  <conditionalFormatting sqref="J13">
    <cfRule type="expression" dxfId="57" priority="7">
      <formula>$J$11="+0D10"</formula>
    </cfRule>
  </conditionalFormatting>
  <conditionalFormatting sqref="K13">
    <cfRule type="expression" dxfId="56" priority="6">
      <formula>$K$13=0</formula>
    </cfRule>
  </conditionalFormatting>
  <conditionalFormatting sqref="N13">
    <cfRule type="expression" dxfId="55" priority="5">
      <formula>$N$13=0</formula>
    </cfRule>
  </conditionalFormatting>
  <conditionalFormatting sqref="O13">
    <cfRule type="expression" dxfId="54" priority="3">
      <formula>$N$11="-2 per -1"""</formula>
    </cfRule>
    <cfRule type="expression" dxfId="53" priority="4">
      <formula>$N$11="-2 per 0"""</formula>
    </cfRule>
  </conditionalFormatting>
  <conditionalFormatting sqref="L12">
    <cfRule type="expression" dxfId="52" priority="2">
      <formula>$L$12=0</formula>
    </cfRule>
  </conditionalFormatting>
  <conditionalFormatting sqref="L13">
    <cfRule type="expression" dxfId="51" priority="1">
      <formula>$L$13=0</formula>
    </cfRule>
  </conditionalFormatting>
  <dataValidations disablePrompts="1" count="6">
    <dataValidation type="list" allowBlank="1" showInputMessage="1" showErrorMessage="1" sqref="D35 D37 D39 D43 D41">
      <formula1>FormationMenu</formula1>
    </dataValidation>
    <dataValidation type="list" allowBlank="1" showInputMessage="1" showErrorMessage="1" sqref="D36">
      <formula1>FormationFirstOrder</formula1>
    </dataValidation>
    <dataValidation type="list" allowBlank="1" showInputMessage="1" showErrorMessage="1" sqref="D38">
      <formula1>FormationSecondOrder</formula1>
    </dataValidation>
    <dataValidation type="list" allowBlank="1" showInputMessage="1" showErrorMessage="1" sqref="D40">
      <formula1>FormationThirdOrder</formula1>
    </dataValidation>
    <dataValidation type="list" allowBlank="1" showInputMessage="1" showErrorMessage="1" sqref="D42">
      <formula1>FormationFourthOrder</formula1>
    </dataValidation>
    <dataValidation type="list" allowBlank="1" showInputMessage="1" showErrorMessage="1" sqref="D44">
      <formula1>FormationFifthOrder</formula1>
    </dataValidation>
  </dataValidations>
  <pageMargins left="0.7" right="0.7" top="0.78740157499999996" bottom="0.78740157499999996" header="0.3" footer="0.3"/>
  <pageSetup paperSize="9" orientation="portrait" r:id="rId1"/>
  <ignoredErrors>
    <ignoredError sqref="F42 F40 F36 F38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0</xdr:col>
                    <xdr:colOff>314325</xdr:colOff>
                    <xdr:row>6</xdr:row>
                    <xdr:rowOff>0</xdr:rowOff>
                  </from>
                  <to>
                    <xdr:col>0</xdr:col>
                    <xdr:colOff>514350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1</xdr:col>
                    <xdr:colOff>342900</xdr:colOff>
                    <xdr:row>6</xdr:row>
                    <xdr:rowOff>0</xdr:rowOff>
                  </from>
                  <to>
                    <xdr:col>1</xdr:col>
                    <xdr:colOff>542925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2</xdr:col>
                    <xdr:colOff>342900</xdr:colOff>
                    <xdr:row>6</xdr:row>
                    <xdr:rowOff>0</xdr:rowOff>
                  </from>
                  <to>
                    <xdr:col>2</xdr:col>
                    <xdr:colOff>542925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3</xdr:col>
                    <xdr:colOff>333375</xdr:colOff>
                    <xdr:row>6</xdr:row>
                    <xdr:rowOff>0</xdr:rowOff>
                  </from>
                  <to>
                    <xdr:col>3</xdr:col>
                    <xdr:colOff>533400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4</xdr:col>
                    <xdr:colOff>333375</xdr:colOff>
                    <xdr:row>6</xdr:row>
                    <xdr:rowOff>0</xdr:rowOff>
                  </from>
                  <to>
                    <xdr:col>4</xdr:col>
                    <xdr:colOff>533400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9" name="Check Box 7">
              <controlPr defaultSize="0" autoFill="0" autoLine="0" autoPict="0">
                <anchor moveWithCells="1">
                  <from>
                    <xdr:col>0</xdr:col>
                    <xdr:colOff>314325</xdr:colOff>
                    <xdr:row>9</xdr:row>
                    <xdr:rowOff>0</xdr:rowOff>
                  </from>
                  <to>
                    <xdr:col>0</xdr:col>
                    <xdr:colOff>514350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0" name="Check Box 8">
              <controlPr defaultSize="0" autoFill="0" autoLine="0" autoPict="0">
                <anchor moveWithCells="1">
                  <from>
                    <xdr:col>1</xdr:col>
                    <xdr:colOff>342900</xdr:colOff>
                    <xdr:row>9</xdr:row>
                    <xdr:rowOff>0</xdr:rowOff>
                  </from>
                  <to>
                    <xdr:col>1</xdr:col>
                    <xdr:colOff>542925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1" name="Check Box 9">
              <controlPr defaultSize="0" autoFill="0" autoLine="0" autoPict="0">
                <anchor moveWithCells="1">
                  <from>
                    <xdr:col>2</xdr:col>
                    <xdr:colOff>342900</xdr:colOff>
                    <xdr:row>9</xdr:row>
                    <xdr:rowOff>0</xdr:rowOff>
                  </from>
                  <to>
                    <xdr:col>2</xdr:col>
                    <xdr:colOff>542925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2" name="Check Box 10">
              <controlPr defaultSize="0" autoFill="0" autoLine="0" autoPict="0">
                <anchor moveWithCells="1">
                  <from>
                    <xdr:col>3</xdr:col>
                    <xdr:colOff>333375</xdr:colOff>
                    <xdr:row>9</xdr:row>
                    <xdr:rowOff>0</xdr:rowOff>
                  </from>
                  <to>
                    <xdr:col>3</xdr:col>
                    <xdr:colOff>533400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3" name="Check Box 11">
              <controlPr defaultSize="0" autoFill="0" autoLine="0" autoPict="0">
                <anchor moveWithCells="1">
                  <from>
                    <xdr:col>4</xdr:col>
                    <xdr:colOff>333375</xdr:colOff>
                    <xdr:row>9</xdr:row>
                    <xdr:rowOff>0</xdr:rowOff>
                  </from>
                  <to>
                    <xdr:col>4</xdr:col>
                    <xdr:colOff>533400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4" name="Check Box 12">
              <controlPr defaultSize="0" autoFill="0" autoLine="0" autoPict="0">
                <anchor moveWithCells="1">
                  <from>
                    <xdr:col>0</xdr:col>
                    <xdr:colOff>314325</xdr:colOff>
                    <xdr:row>12</xdr:row>
                    <xdr:rowOff>0</xdr:rowOff>
                  </from>
                  <to>
                    <xdr:col>0</xdr:col>
                    <xdr:colOff>514350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5" name="Check Box 13">
              <controlPr defaultSize="0" autoFill="0" autoLine="0" autoPict="0">
                <anchor moveWithCells="1">
                  <from>
                    <xdr:col>1</xdr:col>
                    <xdr:colOff>342900</xdr:colOff>
                    <xdr:row>12</xdr:row>
                    <xdr:rowOff>0</xdr:rowOff>
                  </from>
                  <to>
                    <xdr:col>1</xdr:col>
                    <xdr:colOff>542925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6" name="Check Box 14">
              <controlPr defaultSize="0" autoFill="0" autoLine="0" autoPict="0">
                <anchor moveWithCells="1">
                  <from>
                    <xdr:col>2</xdr:col>
                    <xdr:colOff>342900</xdr:colOff>
                    <xdr:row>12</xdr:row>
                    <xdr:rowOff>0</xdr:rowOff>
                  </from>
                  <to>
                    <xdr:col>2</xdr:col>
                    <xdr:colOff>542925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7" name="Check Box 15">
              <controlPr defaultSize="0" autoFill="0" autoLine="0" autoPict="0">
                <anchor moveWithCells="1">
                  <from>
                    <xdr:col>3</xdr:col>
                    <xdr:colOff>333375</xdr:colOff>
                    <xdr:row>12</xdr:row>
                    <xdr:rowOff>0</xdr:rowOff>
                  </from>
                  <to>
                    <xdr:col>3</xdr:col>
                    <xdr:colOff>533400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8" name="Check Box 16">
              <controlPr defaultSize="0" autoFill="0" autoLine="0" autoPict="0">
                <anchor moveWithCells="1">
                  <from>
                    <xdr:col>4</xdr:col>
                    <xdr:colOff>333375</xdr:colOff>
                    <xdr:row>12</xdr:row>
                    <xdr:rowOff>0</xdr:rowOff>
                  </from>
                  <to>
                    <xdr:col>4</xdr:col>
                    <xdr:colOff>533400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9" name="Check Box 17">
              <controlPr defaultSize="0" autoFill="0" autoLine="0" autoPict="0">
                <anchor moveWithCells="1">
                  <from>
                    <xdr:col>0</xdr:col>
                    <xdr:colOff>314325</xdr:colOff>
                    <xdr:row>15</xdr:row>
                    <xdr:rowOff>0</xdr:rowOff>
                  </from>
                  <to>
                    <xdr:col>0</xdr:col>
                    <xdr:colOff>514350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20" name="Check Box 18">
              <controlPr defaultSize="0" autoFill="0" autoLine="0" autoPict="0">
                <anchor moveWithCells="1">
                  <from>
                    <xdr:col>1</xdr:col>
                    <xdr:colOff>342900</xdr:colOff>
                    <xdr:row>15</xdr:row>
                    <xdr:rowOff>0</xdr:rowOff>
                  </from>
                  <to>
                    <xdr:col>1</xdr:col>
                    <xdr:colOff>542925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1" name="Check Box 19">
              <controlPr defaultSize="0" autoFill="0" autoLine="0" autoPict="0">
                <anchor moveWithCells="1">
                  <from>
                    <xdr:col>2</xdr:col>
                    <xdr:colOff>342900</xdr:colOff>
                    <xdr:row>15</xdr:row>
                    <xdr:rowOff>0</xdr:rowOff>
                  </from>
                  <to>
                    <xdr:col>2</xdr:col>
                    <xdr:colOff>542925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2" name="Check Box 20">
              <controlPr defaultSize="0" autoFill="0" autoLine="0" autoPict="0">
                <anchor moveWithCells="1">
                  <from>
                    <xdr:col>3</xdr:col>
                    <xdr:colOff>333375</xdr:colOff>
                    <xdr:row>15</xdr:row>
                    <xdr:rowOff>0</xdr:rowOff>
                  </from>
                  <to>
                    <xdr:col>3</xdr:col>
                    <xdr:colOff>533400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3" name="Check Box 21">
              <controlPr defaultSize="0" autoFill="0" autoLine="0" autoPict="0">
                <anchor moveWithCells="1">
                  <from>
                    <xdr:col>4</xdr:col>
                    <xdr:colOff>333375</xdr:colOff>
                    <xdr:row>15</xdr:row>
                    <xdr:rowOff>0</xdr:rowOff>
                  </from>
                  <to>
                    <xdr:col>4</xdr:col>
                    <xdr:colOff>533400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24" name="Check Box 22">
              <controlPr defaultSize="0" autoFill="0" autoLine="0" autoPict="0">
                <anchor moveWithCells="1">
                  <from>
                    <xdr:col>0</xdr:col>
                    <xdr:colOff>314325</xdr:colOff>
                    <xdr:row>18</xdr:row>
                    <xdr:rowOff>0</xdr:rowOff>
                  </from>
                  <to>
                    <xdr:col>0</xdr:col>
                    <xdr:colOff>514350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5" name="Check Box 23">
              <controlPr defaultSize="0" autoFill="0" autoLine="0" autoPict="0">
                <anchor moveWithCells="1">
                  <from>
                    <xdr:col>1</xdr:col>
                    <xdr:colOff>342900</xdr:colOff>
                    <xdr:row>18</xdr:row>
                    <xdr:rowOff>0</xdr:rowOff>
                  </from>
                  <to>
                    <xdr:col>1</xdr:col>
                    <xdr:colOff>542925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6" name="Check Box 24">
              <controlPr defaultSize="0" autoFill="0" autoLine="0" autoPict="0">
                <anchor moveWithCells="1">
                  <from>
                    <xdr:col>2</xdr:col>
                    <xdr:colOff>342900</xdr:colOff>
                    <xdr:row>18</xdr:row>
                    <xdr:rowOff>0</xdr:rowOff>
                  </from>
                  <to>
                    <xdr:col>2</xdr:col>
                    <xdr:colOff>542925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7" name="Check Box 25">
              <controlPr defaultSize="0" autoFill="0" autoLine="0" autoPict="0">
                <anchor moveWithCells="1">
                  <from>
                    <xdr:col>3</xdr:col>
                    <xdr:colOff>333375</xdr:colOff>
                    <xdr:row>18</xdr:row>
                    <xdr:rowOff>0</xdr:rowOff>
                  </from>
                  <to>
                    <xdr:col>3</xdr:col>
                    <xdr:colOff>533400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28" name="Check Box 26">
              <controlPr defaultSize="0" autoFill="0" autoLine="0" autoPict="0">
                <anchor moveWithCells="1">
                  <from>
                    <xdr:col>4</xdr:col>
                    <xdr:colOff>333375</xdr:colOff>
                    <xdr:row>18</xdr:row>
                    <xdr:rowOff>0</xdr:rowOff>
                  </from>
                  <to>
                    <xdr:col>4</xdr:col>
                    <xdr:colOff>533400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29" name="Check Box 27">
              <controlPr defaultSize="0" autoFill="0" autoLine="0" autoPict="0">
                <anchor moveWithCells="1">
                  <from>
                    <xdr:col>0</xdr:col>
                    <xdr:colOff>314325</xdr:colOff>
                    <xdr:row>21</xdr:row>
                    <xdr:rowOff>0</xdr:rowOff>
                  </from>
                  <to>
                    <xdr:col>0</xdr:col>
                    <xdr:colOff>514350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30" name="Check Box 28">
              <controlPr defaultSize="0" autoFill="0" autoLine="0" autoPict="0">
                <anchor moveWithCells="1">
                  <from>
                    <xdr:col>1</xdr:col>
                    <xdr:colOff>342900</xdr:colOff>
                    <xdr:row>21</xdr:row>
                    <xdr:rowOff>0</xdr:rowOff>
                  </from>
                  <to>
                    <xdr:col>1</xdr:col>
                    <xdr:colOff>542925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31" name="Check Box 29">
              <controlPr defaultSize="0" autoFill="0" autoLine="0" autoPict="0">
                <anchor moveWithCells="1">
                  <from>
                    <xdr:col>2</xdr:col>
                    <xdr:colOff>342900</xdr:colOff>
                    <xdr:row>21</xdr:row>
                    <xdr:rowOff>0</xdr:rowOff>
                  </from>
                  <to>
                    <xdr:col>2</xdr:col>
                    <xdr:colOff>542925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32" name="Check Box 30">
              <controlPr defaultSize="0" autoFill="0" autoLine="0" autoPict="0">
                <anchor moveWithCells="1">
                  <from>
                    <xdr:col>3</xdr:col>
                    <xdr:colOff>333375</xdr:colOff>
                    <xdr:row>21</xdr:row>
                    <xdr:rowOff>0</xdr:rowOff>
                  </from>
                  <to>
                    <xdr:col>3</xdr:col>
                    <xdr:colOff>533400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33" name="Check Box 31">
              <controlPr defaultSize="0" autoFill="0" autoLine="0" autoPict="0">
                <anchor moveWithCells="1">
                  <from>
                    <xdr:col>4</xdr:col>
                    <xdr:colOff>333375</xdr:colOff>
                    <xdr:row>21</xdr:row>
                    <xdr:rowOff>0</xdr:rowOff>
                  </from>
                  <to>
                    <xdr:col>4</xdr:col>
                    <xdr:colOff>533400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34" name="Check Box 32">
              <controlPr defaultSize="0" autoFill="0" autoLine="0" autoPict="0">
                <anchor moveWithCells="1">
                  <from>
                    <xdr:col>0</xdr:col>
                    <xdr:colOff>314325</xdr:colOff>
                    <xdr:row>24</xdr:row>
                    <xdr:rowOff>0</xdr:rowOff>
                  </from>
                  <to>
                    <xdr:col>0</xdr:col>
                    <xdr:colOff>514350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35" name="Check Box 33">
              <controlPr defaultSize="0" autoFill="0" autoLine="0" autoPict="0">
                <anchor moveWithCells="1">
                  <from>
                    <xdr:col>1</xdr:col>
                    <xdr:colOff>342900</xdr:colOff>
                    <xdr:row>24</xdr:row>
                    <xdr:rowOff>0</xdr:rowOff>
                  </from>
                  <to>
                    <xdr:col>1</xdr:col>
                    <xdr:colOff>542925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6" name="Check Box 34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0</xdr:rowOff>
                  </from>
                  <to>
                    <xdr:col>2</xdr:col>
                    <xdr:colOff>542925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7" name="Check Box 35">
              <controlPr defaultSize="0" autoFill="0" autoLine="0" autoPict="0">
                <anchor moveWithCells="1">
                  <from>
                    <xdr:col>3</xdr:col>
                    <xdr:colOff>333375</xdr:colOff>
                    <xdr:row>24</xdr:row>
                    <xdr:rowOff>0</xdr:rowOff>
                  </from>
                  <to>
                    <xdr:col>3</xdr:col>
                    <xdr:colOff>533400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38" name="Check Box 36">
              <controlPr defaultSize="0" autoFill="0" autoLine="0" autoPict="0">
                <anchor moveWithCells="1">
                  <from>
                    <xdr:col>4</xdr:col>
                    <xdr:colOff>333375</xdr:colOff>
                    <xdr:row>24</xdr:row>
                    <xdr:rowOff>0</xdr:rowOff>
                  </from>
                  <to>
                    <xdr:col>4</xdr:col>
                    <xdr:colOff>533400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39" name="Check Box 37">
              <controlPr defaultSize="0" autoFill="0" autoLine="0" autoPict="0">
                <anchor moveWithCells="1">
                  <from>
                    <xdr:col>0</xdr:col>
                    <xdr:colOff>314325</xdr:colOff>
                    <xdr:row>24</xdr:row>
                    <xdr:rowOff>0</xdr:rowOff>
                  </from>
                  <to>
                    <xdr:col>0</xdr:col>
                    <xdr:colOff>514350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40" name="Check Box 38">
              <controlPr defaultSize="0" autoFill="0" autoLine="0" autoPict="0">
                <anchor moveWithCells="1">
                  <from>
                    <xdr:col>1</xdr:col>
                    <xdr:colOff>342900</xdr:colOff>
                    <xdr:row>24</xdr:row>
                    <xdr:rowOff>0</xdr:rowOff>
                  </from>
                  <to>
                    <xdr:col>1</xdr:col>
                    <xdr:colOff>542925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41" name="Check Box 39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0</xdr:rowOff>
                  </from>
                  <to>
                    <xdr:col>2</xdr:col>
                    <xdr:colOff>542925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42" name="Check Box 40">
              <controlPr defaultSize="0" autoFill="0" autoLine="0" autoPict="0">
                <anchor moveWithCells="1">
                  <from>
                    <xdr:col>3</xdr:col>
                    <xdr:colOff>333375</xdr:colOff>
                    <xdr:row>24</xdr:row>
                    <xdr:rowOff>0</xdr:rowOff>
                  </from>
                  <to>
                    <xdr:col>3</xdr:col>
                    <xdr:colOff>533400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43" name="Check Box 41">
              <controlPr defaultSize="0" autoFill="0" autoLine="0" autoPict="0">
                <anchor moveWithCells="1">
                  <from>
                    <xdr:col>4</xdr:col>
                    <xdr:colOff>333375</xdr:colOff>
                    <xdr:row>24</xdr:row>
                    <xdr:rowOff>0</xdr:rowOff>
                  </from>
                  <to>
                    <xdr:col>4</xdr:col>
                    <xdr:colOff>533400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44" name="Check Box 42">
              <controlPr defaultSize="0" autoFill="0" autoLine="0" autoPict="0">
                <anchor moveWithCells="1">
                  <from>
                    <xdr:col>0</xdr:col>
                    <xdr:colOff>314325</xdr:colOff>
                    <xdr:row>27</xdr:row>
                    <xdr:rowOff>0</xdr:rowOff>
                  </from>
                  <to>
                    <xdr:col>0</xdr:col>
                    <xdr:colOff>514350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45" name="Check Box 43">
              <controlPr defaultSize="0" autoFill="0" autoLine="0" autoPict="0">
                <anchor moveWithCells="1">
                  <from>
                    <xdr:col>1</xdr:col>
                    <xdr:colOff>342900</xdr:colOff>
                    <xdr:row>27</xdr:row>
                    <xdr:rowOff>0</xdr:rowOff>
                  </from>
                  <to>
                    <xdr:col>1</xdr:col>
                    <xdr:colOff>542925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46" name="Check Box 44">
              <controlPr defaultSize="0" autoFill="0" autoLine="0" autoPict="0">
                <anchor moveWithCells="1">
                  <from>
                    <xdr:col>2</xdr:col>
                    <xdr:colOff>342900</xdr:colOff>
                    <xdr:row>27</xdr:row>
                    <xdr:rowOff>0</xdr:rowOff>
                  </from>
                  <to>
                    <xdr:col>2</xdr:col>
                    <xdr:colOff>542925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47" name="Check Box 45">
              <controlPr defaultSize="0" autoFill="0" autoLine="0" autoPict="0">
                <anchor moveWithCells="1">
                  <from>
                    <xdr:col>3</xdr:col>
                    <xdr:colOff>333375</xdr:colOff>
                    <xdr:row>27</xdr:row>
                    <xdr:rowOff>0</xdr:rowOff>
                  </from>
                  <to>
                    <xdr:col>3</xdr:col>
                    <xdr:colOff>533400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48" name="Check Box 46">
              <controlPr defaultSize="0" autoFill="0" autoLine="0" autoPict="0">
                <anchor moveWithCells="1">
                  <from>
                    <xdr:col>4</xdr:col>
                    <xdr:colOff>333375</xdr:colOff>
                    <xdr:row>27</xdr:row>
                    <xdr:rowOff>0</xdr:rowOff>
                  </from>
                  <to>
                    <xdr:col>4</xdr:col>
                    <xdr:colOff>533400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49" name="Check Box 47">
              <controlPr defaultSize="0" autoFill="0" autoLine="0" autoPict="0">
                <anchor moveWithCells="1">
                  <from>
                    <xdr:col>0</xdr:col>
                    <xdr:colOff>314325</xdr:colOff>
                    <xdr:row>27</xdr:row>
                    <xdr:rowOff>0</xdr:rowOff>
                  </from>
                  <to>
                    <xdr:col>0</xdr:col>
                    <xdr:colOff>514350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50" name="Check Box 48">
              <controlPr defaultSize="0" autoFill="0" autoLine="0" autoPict="0">
                <anchor moveWithCells="1">
                  <from>
                    <xdr:col>1</xdr:col>
                    <xdr:colOff>342900</xdr:colOff>
                    <xdr:row>27</xdr:row>
                    <xdr:rowOff>0</xdr:rowOff>
                  </from>
                  <to>
                    <xdr:col>1</xdr:col>
                    <xdr:colOff>542925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51" name="Check Box 49">
              <controlPr defaultSize="0" autoFill="0" autoLine="0" autoPict="0">
                <anchor moveWithCells="1">
                  <from>
                    <xdr:col>2</xdr:col>
                    <xdr:colOff>342900</xdr:colOff>
                    <xdr:row>27</xdr:row>
                    <xdr:rowOff>0</xdr:rowOff>
                  </from>
                  <to>
                    <xdr:col>2</xdr:col>
                    <xdr:colOff>542925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52" name="Check Box 50">
              <controlPr defaultSize="0" autoFill="0" autoLine="0" autoPict="0">
                <anchor moveWithCells="1">
                  <from>
                    <xdr:col>3</xdr:col>
                    <xdr:colOff>333375</xdr:colOff>
                    <xdr:row>27</xdr:row>
                    <xdr:rowOff>0</xdr:rowOff>
                  </from>
                  <to>
                    <xdr:col>3</xdr:col>
                    <xdr:colOff>533400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53" name="Check Box 51">
              <controlPr defaultSize="0" autoFill="0" autoLine="0" autoPict="0">
                <anchor moveWithCells="1">
                  <from>
                    <xdr:col>4</xdr:col>
                    <xdr:colOff>333375</xdr:colOff>
                    <xdr:row>27</xdr:row>
                    <xdr:rowOff>0</xdr:rowOff>
                  </from>
                  <to>
                    <xdr:col>4</xdr:col>
                    <xdr:colOff>533400</xdr:colOff>
                    <xdr:row>28</xdr:row>
                    <xdr:rowOff>19050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7" id="{52595151-54A2-486D-883F-899A3DD79C58}">
            <xm:f>'Combatant Calculator'!$B$6="Huge"</xm:f>
            <x14:dxf>
              <font>
                <color rgb="FFC00000"/>
              </font>
              <fill>
                <patternFill>
                  <fgColor rgb="FFFF9F9F"/>
                  <bgColor rgb="FFFF9F9F"/>
                </patternFill>
              </fill>
            </x14:dxf>
          </x14:cfRule>
          <x14:cfRule type="expression" priority="98" id="{1F6CB395-5CCA-4E69-9100-297A4D249537}">
            <xm:f>'Combatant Calculator'!$B$6="Large"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</x14:dxf>
          </x14:cfRule>
          <x14:cfRule type="expression" priority="99" id="{AE55A840-ACE8-41DD-B8E4-CAA6B1F07A3D}">
            <xm:f>'Combatant Calculator'!$B$6="Medium"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expression" priority="100" id="{1A4F0084-2102-4A27-B7E4-F42C82DB9A94}">
            <xm:f>'Combatant Calculator'!$B$6="Small"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A5:A6</xm:sqref>
        </x14:conditionalFormatting>
        <x14:conditionalFormatting xmlns:xm="http://schemas.microsoft.com/office/excel/2006/main">
          <x14:cfRule type="expression" priority="101" id="{142DAA20-95C4-49B1-B847-DE40037C9F5D}">
            <xm:f>'Combatant Calculator'!$B$6="Small"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B8:C9</xm:sqref>
        </x14:conditionalFormatting>
        <x14:conditionalFormatting xmlns:xm="http://schemas.microsoft.com/office/excel/2006/main">
          <x14:cfRule type="expression" priority="102" id="{BEBFE617-22B0-43A7-A330-3637D1E714F9}">
            <xm:f>'Combatant Calculator'!$B$6="Huge"</xm:f>
            <x14:dxf>
              <font>
                <color rgb="FFC00000"/>
              </font>
              <fill>
                <patternFill>
                  <bgColor rgb="FFFF9F9F"/>
                </patternFill>
              </fill>
            </x14:dxf>
          </x14:cfRule>
          <x14:cfRule type="expression" priority="103" id="{F874F8DF-2B96-416D-B957-D7EEF261E4E4}">
            <xm:f>'Combatant Calculator'!$B$6="Medium"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expression" priority="104" id="{93306E9B-7331-40ED-BD36-DB198B098101}">
            <xm:f>'Combatant Calculator'!$B$6="Small"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E5:E6 A8:A9</xm:sqref>
        </x14:conditionalFormatting>
        <x14:conditionalFormatting xmlns:xm="http://schemas.microsoft.com/office/excel/2006/main">
          <x14:cfRule type="expression" priority="108" id="{A1A58728-0512-447D-BD1F-DA3E6FB7B052}">
            <xm:f>'Combatant Calculator'!$B$6="Large"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</x14:dxf>
          </x14:cfRule>
          <x14:cfRule type="expression" priority="109" id="{245494B7-620A-4889-A48B-28EE819E51DF}">
            <xm:f>'Combatant Calculator'!$B$6="Medium"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expression" priority="110" id="{7BDB7553-CDA0-4515-ACB5-964CC6551E6F}">
            <xm:f>'Combatant Calculator'!$B$6="Small"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B5:D6</xm:sqref>
        </x14:conditionalFormatting>
        <x14:conditionalFormatting xmlns:xm="http://schemas.microsoft.com/office/excel/2006/main">
          <x14:cfRule type="expression" priority="111" id="{27BFDB36-0116-4F1E-8124-DB5A8BD472D5}">
            <xm:f>'Combatant Calculator'!$B$6="Huge"</xm:f>
            <x14:dxf>
              <font>
                <color rgb="FFC00000"/>
              </font>
              <fill>
                <patternFill>
                  <bgColor rgb="FFFF9F9F"/>
                </patternFill>
              </fill>
            </x14:dxf>
          </x14:cfRule>
          <x14:cfRule type="expression" priority="112" id="{18081F19-A1A5-4B68-A2BE-BEB4FE87957F}">
            <xm:f>'Combatant Calculator'!$B$6="Large"</xm:f>
            <x14:dxf>
              <font>
                <color rgb="FFC00000"/>
              </font>
              <fill>
                <patternFill patternType="solid">
                  <bgColor rgb="FFFF9F9F"/>
                </patternFill>
              </fill>
            </x14:dxf>
          </x14:cfRule>
          <x14:cfRule type="expression" priority="113" id="{4F43BCB0-B400-418F-8F5C-E0B4F3D02821}">
            <xm:f>'Combatant Calculator'!$B$6="Medium"</xm:f>
            <x14:dxf>
              <font>
                <color rgb="FFC00000"/>
              </font>
              <fill>
                <patternFill patternType="solid">
                  <bgColor rgb="FFFF9F9F"/>
                </patternFill>
              </fill>
            </x14:dxf>
          </x14:cfRule>
          <xm:sqref>E26:E27</xm:sqref>
        </x14:conditionalFormatting>
        <x14:conditionalFormatting xmlns:xm="http://schemas.microsoft.com/office/excel/2006/main">
          <x14:cfRule type="expression" priority="114" id="{CEAD1D9E-54BF-46FE-9EDD-712960C047BF}">
            <xm:f>'Combatant Calculator'!$B$6="Large"</xm:f>
            <x14:dxf>
              <font>
                <color rgb="FFC00000"/>
              </font>
              <fill>
                <patternFill patternType="solid">
                  <bgColor rgb="FFFF9F9F"/>
                </patternFill>
              </fill>
            </x14:dxf>
          </x14:cfRule>
          <x14:cfRule type="expression" priority="115" id="{0F42C5A1-441C-4FE8-8CDB-31281545775F}">
            <xm:f>'Combatant Calculator'!$B$6="Medium"</xm:f>
            <x14:dxf>
              <font>
                <color rgb="FFC00000"/>
              </font>
              <fill>
                <patternFill patternType="solid">
                  <bgColor rgb="FFFF9F9F"/>
                </patternFill>
              </fill>
            </x14:dxf>
          </x14:cfRule>
          <xm:sqref>A26:D27 A23:E24</xm:sqref>
        </x14:conditionalFormatting>
        <x14:conditionalFormatting xmlns:xm="http://schemas.microsoft.com/office/excel/2006/main">
          <x14:cfRule type="expression" priority="118" id="{642FB08D-2204-481C-AE82-FEB8F7A89C30}">
            <xm:f>'Combatant Calculator'!$B$6="Large"</xm:f>
            <x14:dxf>
              <font>
                <color rgb="FFC00000"/>
              </font>
              <fill>
                <patternFill patternType="solid">
                  <bgColor rgb="FFFF9F9F"/>
                </patternFill>
              </fill>
            </x14:dxf>
          </x14:cfRule>
          <xm:sqref>C11:E12 A14:E15 A17:E18 A20:E21</xm:sqref>
        </x14:conditionalFormatting>
        <x14:conditionalFormatting xmlns:xm="http://schemas.microsoft.com/office/excel/2006/main">
          <x14:cfRule type="expression" priority="119" id="{BDB0457C-5F23-4B6C-A5BF-0C6C69641410}">
            <xm:f>'Combatant Calculator'!$B$6="Huge"</xm:f>
            <x14:dxf>
              <font>
                <color rgb="FFC00000"/>
              </font>
              <fill>
                <patternFill>
                  <bgColor rgb="FFFF9F9F"/>
                </patternFill>
              </fill>
            </x14:dxf>
          </x14:cfRule>
          <xm:sqref>B5:D6 B8:E9 A11:E12 A14:E15 A17:E18 A20:E21 A23:E24 A26:D27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3"/>
  <sheetViews>
    <sheetView topLeftCell="A61" workbookViewId="0">
      <selection activeCell="B29" sqref="B29"/>
    </sheetView>
  </sheetViews>
  <sheetFormatPr baseColWidth="10" defaultColWidth="11.42578125" defaultRowHeight="15" x14ac:dyDescent="0.25"/>
  <cols>
    <col min="1" max="1" width="23" style="99" customWidth="1"/>
    <col min="2" max="2" width="19.28515625" style="99" bestFit="1" customWidth="1"/>
    <col min="3" max="4" width="11.42578125" style="99"/>
    <col min="5" max="5" width="6" style="99" customWidth="1"/>
    <col min="6" max="6" width="10.5703125" style="99" customWidth="1"/>
    <col min="7" max="7" width="16.140625" style="99" customWidth="1"/>
    <col min="8" max="8" width="4.42578125" style="99" customWidth="1"/>
    <col min="9" max="9" width="7.7109375" style="99" bestFit="1" customWidth="1"/>
    <col min="10" max="10" width="6.140625" style="99" customWidth="1"/>
    <col min="11" max="11" width="9.5703125" style="99" customWidth="1"/>
    <col min="12" max="12" width="5.140625" style="99" customWidth="1"/>
    <col min="13" max="13" width="4.42578125" style="99" customWidth="1"/>
    <col min="14" max="14" width="9.7109375" style="99" customWidth="1"/>
    <col min="15" max="15" width="7.28515625" style="99" customWidth="1"/>
    <col min="16" max="16384" width="11.42578125" style="99"/>
  </cols>
  <sheetData>
    <row r="1" spans="1:19" ht="23.25" thickBot="1" x14ac:dyDescent="0.35">
      <c r="A1" s="72" t="s">
        <v>420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103"/>
      <c r="R1" s="98"/>
      <c r="S1" s="98"/>
    </row>
    <row r="2" spans="1:19" s="9" customFormat="1" x14ac:dyDescent="0.25">
      <c r="A2" s="74"/>
      <c r="B2" s="75"/>
      <c r="C2" s="75"/>
      <c r="D2" s="75"/>
      <c r="E2" s="75"/>
      <c r="F2" s="75"/>
      <c r="G2" s="69"/>
      <c r="H2" s="70"/>
      <c r="I2" s="70"/>
      <c r="J2" s="70"/>
      <c r="K2" s="70"/>
      <c r="L2" s="70"/>
      <c r="M2" s="70"/>
      <c r="N2" s="70"/>
      <c r="O2" s="71"/>
      <c r="P2" s="75"/>
      <c r="Q2" s="74"/>
      <c r="R2" s="75"/>
      <c r="S2" s="98"/>
    </row>
    <row r="3" spans="1:19" s="9" customFormat="1" x14ac:dyDescent="0.25">
      <c r="A3" s="91" t="s">
        <v>442</v>
      </c>
      <c r="B3" s="75"/>
      <c r="C3" s="75"/>
      <c r="D3" s="75"/>
      <c r="E3" s="75"/>
      <c r="F3" s="75"/>
      <c r="G3" s="65"/>
      <c r="H3" s="66"/>
      <c r="I3" s="66"/>
      <c r="J3" s="66"/>
      <c r="K3" s="66"/>
      <c r="L3" s="66"/>
      <c r="M3" s="115" t="s">
        <v>421</v>
      </c>
      <c r="N3" s="66"/>
      <c r="O3" s="67"/>
      <c r="P3" s="75"/>
      <c r="Q3" s="74"/>
      <c r="R3" s="75"/>
      <c r="S3" s="98"/>
    </row>
    <row r="4" spans="1:19" s="9" customFormat="1" x14ac:dyDescent="0.25">
      <c r="A4" s="74"/>
      <c r="B4" s="75"/>
      <c r="C4" s="75"/>
      <c r="D4" s="75"/>
      <c r="E4" s="75"/>
      <c r="F4" s="75"/>
      <c r="G4" s="112" t="s">
        <v>251</v>
      </c>
      <c r="H4" s="233"/>
      <c r="I4" s="233"/>
      <c r="J4" s="233"/>
      <c r="K4" s="233"/>
      <c r="L4" s="233"/>
      <c r="M4" s="233"/>
      <c r="N4" s="233"/>
      <c r="O4" s="234"/>
      <c r="P4" s="75"/>
      <c r="Q4" s="74"/>
      <c r="R4" s="75"/>
      <c r="S4" s="98"/>
    </row>
    <row r="5" spans="1:19" s="9" customFormat="1" x14ac:dyDescent="0.25">
      <c r="A5" s="76"/>
      <c r="B5" s="77" t="s">
        <v>10</v>
      </c>
      <c r="C5" s="77"/>
      <c r="D5" s="77" t="s">
        <v>11</v>
      </c>
      <c r="E5" s="77">
        <f>SUM(D6:D7)</f>
        <v>50</v>
      </c>
      <c r="F5" s="75"/>
      <c r="G5" s="113" t="s">
        <v>317</v>
      </c>
      <c r="H5" s="124">
        <f>INDEX(Material,MATCH(B7,MaterialMod,0),9)+$B$12</f>
        <v>-1</v>
      </c>
      <c r="I5" s="202"/>
      <c r="J5" s="203" t="s">
        <v>315</v>
      </c>
      <c r="K5" s="202"/>
      <c r="L5" s="202"/>
      <c r="M5" s="204">
        <f>B13</f>
        <v>0</v>
      </c>
      <c r="N5" s="89" t="s">
        <v>316</v>
      </c>
      <c r="O5" s="84">
        <f>IF(B14&lt;=2,(INDEX(Material,MATCH(B7,MaterialMod,0),10)+$B$14),"1/2")</f>
        <v>0</v>
      </c>
      <c r="P5" s="75"/>
      <c r="Q5" s="74"/>
      <c r="R5" s="75"/>
      <c r="S5" s="98"/>
    </row>
    <row r="6" spans="1:19" s="9" customFormat="1" x14ac:dyDescent="0.25">
      <c r="A6" s="78" t="s">
        <v>9</v>
      </c>
      <c r="B6" s="196" t="s">
        <v>37</v>
      </c>
      <c r="C6" s="75"/>
      <c r="D6" s="98">
        <f>VLOOKUP(B6,Tabellen!A5:B9,2,FALSE)</f>
        <v>50</v>
      </c>
      <c r="E6" s="98"/>
      <c r="F6" s="75"/>
      <c r="G6" s="114" t="s">
        <v>319</v>
      </c>
      <c r="H6" s="85">
        <f>INDEX(Material,MATCH(B7,MaterialMod,0),11)+$B$16</f>
        <v>5</v>
      </c>
      <c r="I6" s="85"/>
      <c r="J6" s="87" t="s">
        <v>441</v>
      </c>
      <c r="K6" s="85"/>
      <c r="L6" s="85"/>
      <c r="M6" s="205">
        <f>INDEX(Material,MATCH(B7,MaterialMod,0),3)</f>
        <v>0</v>
      </c>
      <c r="N6" s="205"/>
      <c r="O6" s="90"/>
      <c r="P6" s="75"/>
      <c r="Q6" s="74"/>
      <c r="R6" s="75"/>
      <c r="S6" s="98"/>
    </row>
    <row r="7" spans="1:19" s="9" customFormat="1" x14ac:dyDescent="0.25">
      <c r="A7" s="78" t="s">
        <v>422</v>
      </c>
      <c r="B7" s="196" t="s">
        <v>424</v>
      </c>
      <c r="C7" s="75"/>
      <c r="D7" s="98">
        <f>VLOOKUP(B7,Tabellen!$AI$106:$AL$110,2,FALSE)</f>
        <v>0</v>
      </c>
      <c r="E7" s="98"/>
      <c r="F7" s="75"/>
      <c r="G7" s="113"/>
      <c r="H7" s="124"/>
      <c r="I7" s="124"/>
      <c r="J7" s="89"/>
      <c r="K7" s="124"/>
      <c r="L7" s="124"/>
      <c r="M7" s="124"/>
      <c r="N7" s="89"/>
      <c r="O7" s="84"/>
      <c r="P7" s="75"/>
      <c r="Q7" s="74"/>
      <c r="R7" s="75"/>
      <c r="S7" s="98"/>
    </row>
    <row r="8" spans="1:19" s="9" customFormat="1" x14ac:dyDescent="0.25">
      <c r="A8" s="74"/>
      <c r="B8" s="75"/>
      <c r="C8" s="75"/>
      <c r="D8" s="75"/>
      <c r="E8" s="75"/>
      <c r="F8" s="75"/>
      <c r="G8" s="112" t="s">
        <v>323</v>
      </c>
      <c r="H8" s="94" t="s">
        <v>324</v>
      </c>
      <c r="I8" s="94"/>
      <c r="J8" s="94"/>
      <c r="K8" s="94" t="s">
        <v>325</v>
      </c>
      <c r="L8" s="94"/>
      <c r="M8" s="102"/>
      <c r="N8" s="94" t="s">
        <v>326</v>
      </c>
      <c r="O8" s="95"/>
      <c r="P8" s="75"/>
      <c r="Q8" s="74"/>
      <c r="R8" s="75"/>
      <c r="S8" s="98"/>
    </row>
    <row r="9" spans="1:19" s="9" customFormat="1" x14ac:dyDescent="0.25">
      <c r="A9" s="80"/>
      <c r="B9" s="80"/>
      <c r="C9" s="80"/>
      <c r="D9" s="80"/>
      <c r="E9" s="80"/>
      <c r="F9" s="75"/>
      <c r="G9" s="97" t="str">
        <f>B21</f>
        <v>None</v>
      </c>
      <c r="H9" s="101" t="str">
        <f>IF(B21="None","", C21+INDEX(SiegeWeapons,MATCH(B21,SiegeWeaponMenu,0),5)&amp;INDEX(SiegeWeapons,MATCH(B21,SiegeWeaponMenu,0),6))</f>
        <v/>
      </c>
      <c r="I9" s="201" t="str">
        <f>IF(B21="None","",IF(INDEX(SiegeWeapons,MATCH(B21,SiegeWeaponMenu,0),7)+P21&amp;INDEX(SiegeWeapons,MATCH(B21,SiegeWeaponMenu,0),8)&gt;0,"+"&amp;(INDEX(SiegeWeapons,MATCH(B21,SiegeWeaponMenu,0),7)+P21&amp;INDEX(SiegeWeapons,MATCH(B21,SiegeWeaponMenu,0),8))))</f>
        <v/>
      </c>
      <c r="J9" s="104" t="str">
        <f>IF(G9="None"," ",(IF(INDEX(SiegeWeapons,MATCH(B21,SiegeWeaponMenu,0),10)=0,INDEX(Material,MATCH($B$7,MaterialMod,0),4),INDEX(Material,MATCH($B$7,MaterialMod,0),6))+F21))</f>
        <v xml:space="preserve"> </v>
      </c>
      <c r="K9" s="201">
        <f>INDEX(SiegeWeapons,MATCH(B21,SiegeWeaponMenu,0),2)</f>
        <v>0</v>
      </c>
      <c r="L9" s="209" t="str">
        <f>IF(G9="None"," ",IF(INDEX(SiegeWeapons,MATCH(B21,SiegeWeaponMenu,0),3)+S21=1," ",IF(INDEX(SiegeWeapons,MATCH(B21,SiegeWeaponMenu,0),3)+S21=2,"x2 ",IF(INDEX(SiegeWeapons,MATCH(B21,SiegeWeaponMenu,0),3)+S21&gt;=1,("x"&amp;INDEX(SiegeWeapons,MATCH(B21,SiegeWeaponMenu,0),3)+S21)," "))))</f>
        <v xml:space="preserve"> </v>
      </c>
      <c r="M9" s="104" t="str">
        <f>IF(G9="None"," ",(IF(INDEX(SiegeWeapons,MATCH(B21,SiegeWeaponMenu,0),10)=0,INDEX(Material,MATCH($B$7,MaterialMod,0),5),INDEX(Material,MATCH($B$7,MaterialMod,0),7))+Q21))</f>
        <v xml:space="preserve"> </v>
      </c>
      <c r="N9" s="201" t="str">
        <f>IF(G9="None"," ",(IF(INDEX(SiegeWeapons,MATCH(B21,SiegeWeaponMenu,0),10)&gt;0,CONCATENATE("-2 per ",INDEX(SiegeWeapons,MATCH(B21,SiegeWeaponMenu,0),10)+INDEX(Material,MATCH($B$7,MaterialMod,0),8)+$R$21,""""),"N/A")))</f>
        <v xml:space="preserve"> </v>
      </c>
      <c r="O9" s="68"/>
      <c r="P9" s="75"/>
      <c r="Q9" s="74"/>
      <c r="R9" s="75"/>
      <c r="S9" s="98"/>
    </row>
    <row r="10" spans="1:19" s="9" customFormat="1" x14ac:dyDescent="0.25">
      <c r="A10" s="92" t="s">
        <v>350</v>
      </c>
      <c r="B10" s="75"/>
      <c r="C10" s="75"/>
      <c r="D10" s="75"/>
      <c r="E10" s="75"/>
      <c r="F10" s="75"/>
      <c r="G10" s="133" t="str">
        <f>B22</f>
        <v>None</v>
      </c>
      <c r="H10" s="134" t="str">
        <f>IF(B22="None","", C22+INDEX(SiegeWeapons,MATCH(B22,SiegeWeaponMenu,0),5)&amp;INDEX(SiegeWeapons,MATCH(B22,SiegeWeaponMenu,0),6))</f>
        <v/>
      </c>
      <c r="I10" s="134" t="str">
        <f>IF(B22="None","",IF(INDEX(SiegeWeapons,MATCH(B22,SiegeWeaponMenu,0),7)+P22&amp;INDEX(SiegeWeapons,MATCH(B22,SiegeWeaponMenu,0),8)&gt;0,"+"&amp;(INDEX(SiegeWeapons,MATCH(B22,SiegeWeaponMenu,0),7)+P22&amp;INDEX(SiegeWeapons,MATCH(B22,SiegeWeaponMenu,0),8))))</f>
        <v/>
      </c>
      <c r="J10" s="117" t="str">
        <f>IF(G10="None"," ",(IF(INDEX(SiegeWeapons,MATCH(B22,SiegeWeaponMenu,0),10)=0,INDEX(Material,MATCH($B$7,MaterialMod,0),4),INDEX(Material,MATCH($B$7,MaterialMod,0),6))+F22))</f>
        <v xml:space="preserve"> </v>
      </c>
      <c r="K10" s="135">
        <f>INDEX(SiegeWeapons,MATCH(B22,SiegeWeaponMenu,0),2)</f>
        <v>0</v>
      </c>
      <c r="L10" s="135" t="str">
        <f>IF(G10="None"," ",IF(INDEX(SiegeWeapons,MATCH(B22,SiegeWeaponMenu,0),3)+S22=1," ",IF(INDEX(SiegeWeapons,MATCH(B22,SiegeWeaponMenu,0),3)+S22=2,"x2 ",IF(INDEX(SiegeWeapons,MATCH(B22,SiegeWeaponMenu,0),3)+S22&gt;=1,("x"&amp;INDEX(SiegeWeapons,MATCH(B22,SiegeWeaponMenu,0),3)+S22)," "))))</f>
        <v xml:space="preserve"> </v>
      </c>
      <c r="M10" s="160" t="str">
        <f>IF(G10="None"," ",(IF(INDEX(SiegeWeapons,MATCH(B22,SiegeWeaponMenu,0),10)=0,INDEX(Material,MATCH($B$7,MaterialMod,0),5),INDEX(Material,MATCH($B$7,MaterialMod,0),7))+Q22))</f>
        <v xml:space="preserve"> </v>
      </c>
      <c r="N10" s="135" t="str">
        <f>IF(G10="None"," ",(IF(INDEX(SiegeWeapons,MATCH(B22,SiegeWeaponMenu,0),10)&gt;0,CONCATENATE("-2 per ",INDEX(SiegeWeapons,MATCH(B22,SiegeWeaponMenu,0),10)+INDEX(Material,MATCH($B$7,MaterialMod,0),8)+$R$22,""""),"N/A")))</f>
        <v xml:space="preserve"> </v>
      </c>
      <c r="O10" s="111"/>
      <c r="P10" s="75"/>
      <c r="Q10" s="74"/>
      <c r="R10" s="75"/>
      <c r="S10" s="98"/>
    </row>
    <row r="11" spans="1:19" s="9" customFormat="1" x14ac:dyDescent="0.25">
      <c r="A11" s="76"/>
      <c r="B11" s="77" t="s">
        <v>10</v>
      </c>
      <c r="C11" s="77"/>
      <c r="D11" s="77" t="s">
        <v>11</v>
      </c>
      <c r="E11" s="77">
        <f>SUM(D12:D16)</f>
        <v>0</v>
      </c>
      <c r="F11" s="98"/>
      <c r="G11" s="136" t="str">
        <f>B23</f>
        <v>None</v>
      </c>
      <c r="H11" s="101" t="str">
        <f>IF(B23="None","", C23+INDEX(SiegeWeapons,MATCH(B23,SiegeWeaponMenu,0),5)&amp;INDEX(SiegeWeapons,MATCH(B23,SiegeWeaponMenu,0),6))</f>
        <v/>
      </c>
      <c r="I11" s="101" t="str">
        <f>IF(B23="None","",IF(INDEX(SiegeWeapons,MATCH(B23,SiegeWeaponMenu,0),7)+P23&amp;INDEX(SiegeWeapons,MATCH(B23,SiegeWeaponMenu,0),8)&gt;0,"+"&amp;(INDEX(SiegeWeapons,MATCH(B23,SiegeWeaponMenu,0),7)+P23&amp;INDEX(SiegeWeapons,MATCH(B23,SiegeWeaponMenu,0),8))))</f>
        <v/>
      </c>
      <c r="J11" s="104" t="str">
        <f>IF(G11="None"," ",(IF(INDEX(SiegeWeapons,MATCH(B23,SiegeWeaponMenu,0),10)=0,INDEX(Material,MATCH($B$7,MaterialMod,0),4),INDEX(Material,MATCH($B$7,MaterialMod,0),6))+F23))</f>
        <v xml:space="preserve"> </v>
      </c>
      <c r="K11" s="201">
        <f>INDEX(SiegeWeapons,MATCH(B23,SiegeWeaponMenu,0),2)</f>
        <v>0</v>
      </c>
      <c r="L11" s="209" t="str">
        <f>IF(G11="None"," ",IF(INDEX(SiegeWeapons,MATCH(B23,SiegeWeaponMenu,0),3)+S23=1," ",IF(INDEX(SiegeWeapons,MATCH(B23,SiegeWeaponMenu,0),3)+S23=2,"x2 ",IF(INDEX(SiegeWeapons,MATCH(B23,SiegeWeaponMenu,0),3)+S23&gt;=1,("x"&amp;INDEX(SiegeWeapons,MATCH(B23,SiegeWeaponMenu,0),3)+S23)," "))))</f>
        <v xml:space="preserve"> </v>
      </c>
      <c r="M11" s="104" t="str">
        <f>IF(G11="None"," ",(IF(INDEX(SiegeWeapons,MATCH(B23,SiegeWeaponMenu,0),10)=0,INDEX(Material,MATCH($B$7,MaterialMod,0),5),INDEX(Material,MATCH($B$7,MaterialMod,0),7))+Q23))</f>
        <v xml:space="preserve"> </v>
      </c>
      <c r="N11" s="201" t="str">
        <f>IF(G11="None"," ",(IF(INDEX(SiegeWeapons,MATCH(B23,SiegeWeaponMenu,0),10)&gt;0,CONCATENATE("-2 per ",INDEX(SiegeWeapons,MATCH(B23,SiegeWeaponMenu,0),10)+INDEX(Material,MATCH($B$7,MaterialMod,0),8)+$R$23,""""),"N/A")))</f>
        <v xml:space="preserve"> </v>
      </c>
      <c r="O11" s="137"/>
      <c r="P11" s="75"/>
      <c r="Q11" s="75"/>
      <c r="R11" s="75"/>
      <c r="S11" s="98"/>
    </row>
    <row r="12" spans="1:19" x14ac:dyDescent="0.25">
      <c r="A12" s="86" t="s">
        <v>0</v>
      </c>
      <c r="B12" s="196">
        <v>5</v>
      </c>
      <c r="C12" s="98"/>
      <c r="D12" s="98">
        <f>INDEX(Tabellen!$R$33:$V$46,MATCH(B12,Tabellen!$R$33:$R$46,0),MATCH('Combatant Calculator'!$B$6,Tabellen!$S$33:$V$33,0)+1)</f>
        <v>0</v>
      </c>
      <c r="E12" s="98"/>
      <c r="F12" s="98"/>
      <c r="G12" s="133" t="str">
        <f>B24</f>
        <v>None</v>
      </c>
      <c r="H12" s="134" t="str">
        <f>IF(B24="None","", C24+INDEX(SiegeWeapons,MATCH(B24,SiegeWeaponMenu,0),5)&amp;INDEX(SiegeWeapons,MATCH(B24,SiegeWeaponMenu,0),6))</f>
        <v/>
      </c>
      <c r="I12" s="134" t="str">
        <f>IF(B24="None","",IF(INDEX(SiegeWeapons,MATCH(B24,SiegeWeaponMenu,0),7)+P24&amp;INDEX(SiegeWeapons,MATCH(B24,SiegeWeaponMenu,0),8)&gt;0,"+"&amp;(INDEX(SiegeWeapons,MATCH(B24,SiegeWeaponMenu,0),7)+P24&amp;INDEX(SiegeWeapons,MATCH(B24,SiegeWeaponMenu,0),8))))</f>
        <v/>
      </c>
      <c r="J12" s="117" t="str">
        <f>IF(G12="None"," ",(IF(INDEX(SiegeWeapons,MATCH(B24,SiegeWeaponMenu,0),10)=0,INDEX(Material,MATCH($B$7,MaterialMod,0),4),INDEX(Material,MATCH($B$7,MaterialMod,0),6))+F24))</f>
        <v xml:space="preserve"> </v>
      </c>
      <c r="K12" s="135">
        <f>INDEX(SiegeWeapons,MATCH(B24,SiegeWeaponMenu,0),2)</f>
        <v>0</v>
      </c>
      <c r="L12" s="135" t="str">
        <f>IF(G12="None"," ",IF(INDEX(SiegeWeapons,MATCH(B24,SiegeWeaponMenu,0),3)+S24=1," ",IF(INDEX(SiegeWeapons,MATCH(B24,SiegeWeaponMenu,0),3)+S24=2,"x2 ",IF(INDEX(SiegeWeapons,MATCH(B24,SiegeWeaponMenu,0),3)+S24&gt;=1,("x"&amp;INDEX(SiegeWeapons,MATCH(B24,SiegeWeaponMenu,0),3)+S24)," "))))</f>
        <v xml:space="preserve"> </v>
      </c>
      <c r="M12" s="160" t="str">
        <f>IF(G12="None"," ",(IF(INDEX(SiegeWeapons,MATCH(B24,SiegeWeaponMenu,0),10)=0,INDEX(Material,MATCH($B$7,MaterialMod,0),5),INDEX(Material,MATCH($B$7,MaterialMod,0),7))+Q24))</f>
        <v xml:space="preserve"> </v>
      </c>
      <c r="N12" s="135" t="str">
        <f>IF(G12="None"," ",(IF(INDEX(SiegeWeapons,MATCH(B24,SiegeWeaponMenu,0),10)&gt;0,CONCATENATE("-2 per ",INDEX(SiegeWeapons,MATCH(B24,SiegeWeaponMenu,0),10)+INDEX(Material,MATCH($B$7,MaterialMod,0),8)+$R$24,""""),"N/A")))</f>
        <v xml:space="preserve"> </v>
      </c>
      <c r="O12" s="111"/>
      <c r="P12" s="98"/>
      <c r="Q12" s="98"/>
      <c r="R12" s="98"/>
      <c r="S12" s="98"/>
    </row>
    <row r="13" spans="1:19" x14ac:dyDescent="0.25">
      <c r="A13" s="86" t="s">
        <v>2</v>
      </c>
      <c r="B13" s="197">
        <v>0</v>
      </c>
      <c r="C13" s="98"/>
      <c r="D13" s="98">
        <f>VLOOKUP(B13,Tabellen!J32:K37,2,FALSE)</f>
        <v>0</v>
      </c>
      <c r="E13" s="98"/>
      <c r="F13" s="98"/>
      <c r="G13" s="65"/>
      <c r="H13" s="93"/>
      <c r="I13" s="93"/>
      <c r="J13" s="93"/>
      <c r="K13" s="93"/>
      <c r="L13" s="93"/>
      <c r="M13" s="93"/>
      <c r="N13" s="93"/>
      <c r="O13" s="138"/>
      <c r="P13" s="98"/>
      <c r="Q13" s="98"/>
      <c r="R13" s="98"/>
      <c r="S13" s="98"/>
    </row>
    <row r="14" spans="1:19" x14ac:dyDescent="0.25">
      <c r="A14" s="86" t="s">
        <v>3</v>
      </c>
      <c r="B14" s="198">
        <v>0</v>
      </c>
      <c r="C14" s="98"/>
      <c r="D14" s="98">
        <f>VLOOKUP(B14,Tabellen!J41:K46,2,FALSE)</f>
        <v>0</v>
      </c>
      <c r="E14" s="98"/>
      <c r="F14" s="98"/>
      <c r="G14" s="230" t="s">
        <v>408</v>
      </c>
      <c r="H14" s="231"/>
      <c r="I14" s="231"/>
      <c r="J14" s="231"/>
      <c r="K14" s="231"/>
      <c r="L14" s="231"/>
      <c r="M14" s="231"/>
      <c r="N14" s="231"/>
      <c r="O14" s="232"/>
      <c r="P14" s="98"/>
      <c r="Q14" s="98"/>
      <c r="R14" s="98"/>
      <c r="S14" s="98"/>
    </row>
    <row r="15" spans="1:19" x14ac:dyDescent="0.25">
      <c r="A15" s="98"/>
      <c r="B15" s="98"/>
      <c r="C15" s="98"/>
      <c r="D15" s="98"/>
      <c r="E15" s="98"/>
      <c r="F15" s="98"/>
      <c r="G15" s="230"/>
      <c r="H15" s="231"/>
      <c r="I15" s="231"/>
      <c r="J15" s="231"/>
      <c r="K15" s="231"/>
      <c r="L15" s="231"/>
      <c r="M15" s="231"/>
      <c r="N15" s="231"/>
      <c r="O15" s="232"/>
      <c r="P15" s="98"/>
      <c r="Q15" s="98"/>
      <c r="R15" s="98"/>
      <c r="S15" s="98"/>
    </row>
    <row r="16" spans="1:19" x14ac:dyDescent="0.25">
      <c r="A16" s="86" t="s">
        <v>30</v>
      </c>
      <c r="B16" s="199">
        <v>5</v>
      </c>
      <c r="C16" s="98"/>
      <c r="D16" s="98">
        <f>INDEX(Tabellen!$R$51:$V$199,MATCH(B16,Tabellen!$R$51:$R$199,0),MATCH('Combatant Calculator'!$B$6,Tabellen!$S$51:$V$51,0)+1)</f>
        <v>0</v>
      </c>
      <c r="E16" s="98"/>
      <c r="F16" s="185">
        <f>H7/2</f>
        <v>0</v>
      </c>
      <c r="G16" s="230"/>
      <c r="H16" s="231"/>
      <c r="I16" s="231"/>
      <c r="J16" s="231"/>
      <c r="K16" s="231"/>
      <c r="L16" s="231"/>
      <c r="M16" s="231"/>
      <c r="N16" s="231"/>
      <c r="O16" s="232"/>
      <c r="P16" s="98"/>
      <c r="Q16" s="98"/>
      <c r="R16" s="98"/>
      <c r="S16" s="98"/>
    </row>
    <row r="17" spans="1:19" x14ac:dyDescent="0.25">
      <c r="A17" s="98"/>
      <c r="B17" s="98"/>
      <c r="C17" s="98"/>
      <c r="D17" s="98"/>
      <c r="E17" s="98"/>
      <c r="F17" s="98"/>
      <c r="G17" s="230"/>
      <c r="H17" s="231"/>
      <c r="I17" s="231"/>
      <c r="J17" s="231"/>
      <c r="K17" s="231"/>
      <c r="L17" s="231"/>
      <c r="M17" s="231"/>
      <c r="N17" s="231"/>
      <c r="O17" s="232"/>
      <c r="P17" s="98"/>
      <c r="Q17" s="98"/>
      <c r="R17" s="98"/>
      <c r="S17" s="98"/>
    </row>
    <row r="18" spans="1:19" x14ac:dyDescent="0.25">
      <c r="A18" s="98"/>
      <c r="B18" s="98"/>
      <c r="C18" s="98"/>
      <c r="D18" s="98"/>
      <c r="E18" s="98"/>
      <c r="F18" s="98"/>
      <c r="G18" s="230"/>
      <c r="H18" s="231"/>
      <c r="I18" s="231"/>
      <c r="J18" s="231"/>
      <c r="K18" s="231"/>
      <c r="L18" s="231"/>
      <c r="M18" s="231"/>
      <c r="N18" s="231"/>
      <c r="O18" s="232"/>
      <c r="P18" s="98"/>
      <c r="Q18" s="98"/>
      <c r="R18" s="98"/>
      <c r="S18" s="98"/>
    </row>
    <row r="19" spans="1:19" x14ac:dyDescent="0.25">
      <c r="A19" s="96" t="s">
        <v>439</v>
      </c>
      <c r="B19" s="98"/>
      <c r="C19" s="98"/>
      <c r="D19" s="98"/>
      <c r="E19" s="98"/>
      <c r="F19" s="98"/>
      <c r="G19" s="230"/>
      <c r="H19" s="231"/>
      <c r="I19" s="231"/>
      <c r="J19" s="231"/>
      <c r="K19" s="231"/>
      <c r="L19" s="231"/>
      <c r="M19" s="231"/>
      <c r="N19" s="231"/>
      <c r="O19" s="232"/>
      <c r="P19" s="98"/>
      <c r="Q19" s="98"/>
      <c r="R19" s="98"/>
      <c r="S19" s="98"/>
    </row>
    <row r="20" spans="1:19" x14ac:dyDescent="0.25">
      <c r="A20" s="76"/>
      <c r="B20" s="77" t="s">
        <v>10</v>
      </c>
      <c r="C20" s="189" t="s">
        <v>327</v>
      </c>
      <c r="D20" s="77" t="s">
        <v>11</v>
      </c>
      <c r="E20" s="77">
        <f>SUM(D21:D24)</f>
        <v>0</v>
      </c>
      <c r="F20" s="186" t="s">
        <v>329</v>
      </c>
      <c r="G20" s="230"/>
      <c r="H20" s="231"/>
      <c r="I20" s="231"/>
      <c r="J20" s="231"/>
      <c r="K20" s="231"/>
      <c r="L20" s="231"/>
      <c r="M20" s="231"/>
      <c r="N20" s="231"/>
      <c r="O20" s="232"/>
      <c r="P20" s="186" t="s">
        <v>328</v>
      </c>
      <c r="Q20" s="186" t="s">
        <v>5</v>
      </c>
      <c r="R20" s="186" t="s">
        <v>322</v>
      </c>
      <c r="S20" s="212" t="s">
        <v>448</v>
      </c>
    </row>
    <row r="21" spans="1:19" x14ac:dyDescent="0.25">
      <c r="A21" s="81" t="s">
        <v>379</v>
      </c>
      <c r="B21" s="196" t="s">
        <v>243</v>
      </c>
      <c r="C21" s="184">
        <f>IF(INDEX(SiegeWeapons,MATCH(B21,SiegeWeaponMenu,0),10)&gt;0,+$F$36,+$F$30)</f>
        <v>0</v>
      </c>
      <c r="D21" s="98">
        <f>VLOOKUP(B21,SiegeWeapons,11,FALSE)</f>
        <v>0</v>
      </c>
      <c r="E21" s="98"/>
      <c r="F21" s="184">
        <f>IF(B21="none",0,(IF(INDEX(SiegeWeapons,MATCH(B21,SiegeWeaponMenu,0),10)&gt;0,+$F$35,+$F$29)+(INDEX(SiegeWeapons,MATCH(B21,SiegeWeaponMenu,0),9))))</f>
        <v>0</v>
      </c>
      <c r="G21" s="230"/>
      <c r="H21" s="231"/>
      <c r="I21" s="231"/>
      <c r="J21" s="231"/>
      <c r="K21" s="231"/>
      <c r="L21" s="231"/>
      <c r="M21" s="231"/>
      <c r="N21" s="231"/>
      <c r="O21" s="232"/>
      <c r="P21" s="184">
        <f>IF(INDEX(SiegeWeapons,MATCH(B21,SiegeWeaponMenu,0),10)=0,+$F$31,0)</f>
        <v>0</v>
      </c>
      <c r="Q21" s="184">
        <f>IF(INDEX(SiegeWeapons,MATCH(B21,SiegeWeaponMenu,0),10)&gt;0,+$F$38,+$F$33)+(INDEX(SiegeWeapons,MATCH(B21,SiegeWeaponMenu,0),4))</f>
        <v>0</v>
      </c>
      <c r="R21" s="184">
        <f>IF(INDEX(SiegeWeapons,MATCH(B21,SiegeWeaponMenu,0),10)&gt;0,+$F$39,0)</f>
        <v>0</v>
      </c>
      <c r="S21" s="212">
        <f>IF(INDEX(SiegeWeapons,MATCH(B21,SiegeWeaponMenu,0),10)&gt;0,+$F$37,+$F$32)</f>
        <v>0</v>
      </c>
    </row>
    <row r="22" spans="1:19" x14ac:dyDescent="0.25">
      <c r="A22" s="81" t="s">
        <v>380</v>
      </c>
      <c r="B22" s="196" t="s">
        <v>243</v>
      </c>
      <c r="C22" s="184">
        <f>IF(INDEX(SiegeWeapons,MATCH(B22,SiegeWeaponMenu,0),10)&gt;0,+$F$36,+$F$30)</f>
        <v>0</v>
      </c>
      <c r="D22" s="98">
        <f>VLOOKUP(B22,SiegeWeapons,11,FALSE)</f>
        <v>0</v>
      </c>
      <c r="E22" s="98"/>
      <c r="F22" s="187">
        <f>IF(B22="none",0,(IF(INDEX(SiegeWeapons,MATCH(B22,SiegeWeaponMenu,0),10)&gt;0,+$F$35,+$F$29)+(INDEX(SiegeWeapons,MATCH(B22,SiegeWeaponMenu,0),9))))</f>
        <v>0</v>
      </c>
      <c r="G22" s="230"/>
      <c r="H22" s="231"/>
      <c r="I22" s="231"/>
      <c r="J22" s="231"/>
      <c r="K22" s="231"/>
      <c r="L22" s="231"/>
      <c r="M22" s="231"/>
      <c r="N22" s="231"/>
      <c r="O22" s="232"/>
      <c r="P22" s="184">
        <f>IF(INDEX(SiegeWeapons,MATCH(B22,SiegeWeaponMenu,0),10)=0,+$F$31,0)</f>
        <v>0</v>
      </c>
      <c r="Q22" s="184">
        <f>IF(INDEX(SiegeWeapons,MATCH(B22,SiegeWeaponMenu,0),10)&gt;0,+$F$38,+$F$33)+(INDEX(SiegeWeapons,MATCH(B22,SiegeWeaponMenu,0),4))</f>
        <v>0</v>
      </c>
      <c r="R22" s="184">
        <f>IF(INDEX(SiegeWeapons,MATCH(B22,SiegeWeaponMenu,0),10)&gt;0,+$F$39,0)</f>
        <v>0</v>
      </c>
      <c r="S22" s="212">
        <f>IF(INDEX(SiegeWeapons,MATCH(B22,SiegeWeaponMenu,0),10)&gt;0,+$F$37,+$F$32)</f>
        <v>0</v>
      </c>
    </row>
    <row r="23" spans="1:19" x14ac:dyDescent="0.25">
      <c r="A23" s="98" t="s">
        <v>381</v>
      </c>
      <c r="B23" s="196" t="s">
        <v>243</v>
      </c>
      <c r="C23" s="184">
        <f>IF(INDEX(SiegeWeapons,MATCH(B23,SiegeWeaponMenu,0),10)&gt;0,+$F$36,+$F$30)</f>
        <v>0</v>
      </c>
      <c r="D23" s="98">
        <f>VLOOKUP(B23,SiegeWeapons,11,FALSE)</f>
        <v>0</v>
      </c>
      <c r="E23" s="98"/>
      <c r="F23" s="184">
        <f>IF(B23="none",0,(IF(INDEX(SiegeWeapons,MATCH(B23,SiegeWeaponMenu,0),10)&gt;0,+$F$35,+$F$29)+(INDEX(SiegeWeapons,MATCH(B23,SiegeWeaponMenu,0),9))))</f>
        <v>0</v>
      </c>
      <c r="G23" s="230"/>
      <c r="H23" s="231"/>
      <c r="I23" s="231"/>
      <c r="J23" s="231"/>
      <c r="K23" s="231"/>
      <c r="L23" s="231"/>
      <c r="M23" s="231"/>
      <c r="N23" s="231"/>
      <c r="O23" s="232"/>
      <c r="P23" s="184">
        <f>IF(INDEX(SiegeWeapons,MATCH(B23,SiegeWeaponMenu,0),10)=0,+$F$31,0)</f>
        <v>0</v>
      </c>
      <c r="Q23" s="184">
        <f>IF(INDEX(SiegeWeapons,MATCH(B23,SiegeWeaponMenu,0),10)&gt;0,+$F$38,+$F$33)+(INDEX(SiegeWeapons,MATCH(B23,SiegeWeaponMenu,0),4))</f>
        <v>0</v>
      </c>
      <c r="R23" s="184">
        <f>IF(INDEX(SiegeWeapons,MATCH(B23,SiegeWeaponMenu,0),10)&gt;0,+$F$39,0)</f>
        <v>0</v>
      </c>
      <c r="S23" s="212">
        <f>IF(INDEX(SiegeWeapons,MATCH(B23,SiegeWeaponMenu,0),10)&gt;0,+$F$37,+$F$32)</f>
        <v>0</v>
      </c>
    </row>
    <row r="24" spans="1:19" x14ac:dyDescent="0.25">
      <c r="A24" s="98" t="s">
        <v>382</v>
      </c>
      <c r="B24" s="196" t="s">
        <v>243</v>
      </c>
      <c r="C24" s="184">
        <f>IF(INDEX(SiegeWeapons,MATCH(B24,SiegeWeaponMenu,0),10)&gt;0,+$F$36,+$F$30)</f>
        <v>0</v>
      </c>
      <c r="D24" s="98">
        <f>VLOOKUP(B24,SiegeWeapons,11,FALSE)</f>
        <v>0</v>
      </c>
      <c r="E24" s="98"/>
      <c r="F24" s="184">
        <f>IF(B24="none",0,(IF(INDEX(SiegeWeapons,MATCH(B24,SiegeWeaponMenu,0),10)&gt;0,+$F$35,+$F$29)+(INDEX(SiegeWeapons,MATCH(B24,SiegeWeaponMenu,0),9))))</f>
        <v>0</v>
      </c>
      <c r="G24" s="230"/>
      <c r="H24" s="231"/>
      <c r="I24" s="231"/>
      <c r="J24" s="231"/>
      <c r="K24" s="231"/>
      <c r="L24" s="231"/>
      <c r="M24" s="231"/>
      <c r="N24" s="231"/>
      <c r="O24" s="232"/>
      <c r="P24" s="184">
        <f>IF(INDEX(SiegeWeapons,MATCH(B24,SiegeWeaponMenu,0),10)=0,+$F$31,0)</f>
        <v>0</v>
      </c>
      <c r="Q24" s="184">
        <f>IF(INDEX(SiegeWeapons,MATCH(B24,SiegeWeaponMenu,0),10)&gt;0,+$F$38,+$F$33)+(INDEX(SiegeWeapons,MATCH(B24,SiegeWeaponMenu,0),4))</f>
        <v>0</v>
      </c>
      <c r="R24" s="184">
        <f>IF(INDEX(SiegeWeapons,MATCH(B24,SiegeWeaponMenu,0),10)&gt;0,+$F$39,0)</f>
        <v>0</v>
      </c>
      <c r="S24" s="212">
        <f>IF(INDEX(SiegeWeapons,MATCH(B24,SiegeWeaponMenu,0),10)&gt;0,+$F$37,+$F$32)</f>
        <v>0</v>
      </c>
    </row>
    <row r="25" spans="1:19" x14ac:dyDescent="0.25">
      <c r="A25" s="98"/>
      <c r="B25" s="98"/>
      <c r="C25" s="98"/>
      <c r="D25" s="98"/>
      <c r="E25" s="98"/>
      <c r="F25" s="98"/>
      <c r="G25" s="230"/>
      <c r="H25" s="231"/>
      <c r="I25" s="231"/>
      <c r="J25" s="231"/>
      <c r="K25" s="231"/>
      <c r="L25" s="231"/>
      <c r="M25" s="231"/>
      <c r="N25" s="231"/>
      <c r="O25" s="232"/>
      <c r="P25" s="98"/>
      <c r="Q25" s="98"/>
      <c r="R25" s="98"/>
    </row>
    <row r="26" spans="1:19" x14ac:dyDescent="0.25">
      <c r="A26" s="98"/>
      <c r="B26" s="98"/>
      <c r="C26" s="98"/>
      <c r="D26" s="98"/>
      <c r="E26" s="98"/>
      <c r="F26" s="98"/>
      <c r="G26" s="230"/>
      <c r="H26" s="231"/>
      <c r="I26" s="231"/>
      <c r="J26" s="231"/>
      <c r="K26" s="231"/>
      <c r="L26" s="231"/>
      <c r="M26" s="231"/>
      <c r="N26" s="231"/>
      <c r="O26" s="232"/>
      <c r="P26" s="98"/>
      <c r="Q26" s="98"/>
      <c r="R26" s="98"/>
      <c r="S26" s="98"/>
    </row>
    <row r="27" spans="1:19" x14ac:dyDescent="0.25">
      <c r="A27" s="96" t="s">
        <v>440</v>
      </c>
      <c r="B27" s="98"/>
      <c r="C27" s="98"/>
      <c r="D27" s="98"/>
      <c r="E27" s="98"/>
      <c r="F27" s="98"/>
      <c r="G27" s="230"/>
      <c r="H27" s="231"/>
      <c r="I27" s="231"/>
      <c r="J27" s="231"/>
      <c r="K27" s="231"/>
      <c r="L27" s="231"/>
      <c r="M27" s="231"/>
      <c r="N27" s="231"/>
      <c r="O27" s="232"/>
      <c r="P27" s="184"/>
      <c r="Q27" s="184"/>
      <c r="R27" s="184"/>
      <c r="S27" s="98"/>
    </row>
    <row r="28" spans="1:19" x14ac:dyDescent="0.25">
      <c r="A28" s="76"/>
      <c r="B28" s="77" t="s">
        <v>10</v>
      </c>
      <c r="C28" s="77"/>
      <c r="D28" s="77" t="s">
        <v>11</v>
      </c>
      <c r="E28" s="77">
        <f>SUM(D29:D39)</f>
        <v>0</v>
      </c>
      <c r="F28" s="98"/>
      <c r="G28" s="230"/>
      <c r="H28" s="231"/>
      <c r="I28" s="231"/>
      <c r="J28" s="231"/>
      <c r="K28" s="231"/>
      <c r="L28" s="231"/>
      <c r="M28" s="231"/>
      <c r="N28" s="231"/>
      <c r="O28" s="232"/>
      <c r="P28" s="184"/>
      <c r="Q28" s="184"/>
      <c r="R28" s="184"/>
      <c r="S28" s="98"/>
    </row>
    <row r="29" spans="1:19" x14ac:dyDescent="0.25">
      <c r="A29" s="86" t="s">
        <v>333</v>
      </c>
      <c r="B29" s="198" t="s">
        <v>47</v>
      </c>
      <c r="C29" s="98"/>
      <c r="D29" s="98">
        <f>INDEX(Tabellen!$AC$29:$AG$44,MATCH(B29,Tabellen!$AC$29:$AC$44,0),MATCH($B$6,Tabellen!$AD$29:$AG$29,0)+1)</f>
        <v>0</v>
      </c>
      <c r="E29" s="98"/>
      <c r="F29" s="184">
        <f>IF(B29="normal",0,B29)</f>
        <v>0</v>
      </c>
      <c r="G29" s="230"/>
      <c r="H29" s="231"/>
      <c r="I29" s="231"/>
      <c r="J29" s="231"/>
      <c r="K29" s="231"/>
      <c r="L29" s="231"/>
      <c r="M29" s="231"/>
      <c r="N29" s="231"/>
      <c r="O29" s="232"/>
      <c r="P29" s="184"/>
      <c r="Q29" s="184"/>
      <c r="R29" s="184"/>
      <c r="S29" s="98"/>
    </row>
    <row r="30" spans="1:19" x14ac:dyDescent="0.25">
      <c r="A30" s="86" t="s">
        <v>33</v>
      </c>
      <c r="B30" s="196" t="s">
        <v>50</v>
      </c>
      <c r="C30" s="98"/>
      <c r="D30" s="98">
        <f>INDEX(Tabellen!$AC$48:$AG$51,MATCH(B30,Tabellen!$AC$48:$AC$51,0),MATCH($B$6,Tabellen!$AD$48:$AG$48,0)+1)</f>
        <v>0</v>
      </c>
      <c r="E30" s="98"/>
      <c r="F30" s="188">
        <f>IF(B30="+1D6",1,(IF(B30="+2D6",2,0)))</f>
        <v>0</v>
      </c>
      <c r="G30" s="230"/>
      <c r="H30" s="231"/>
      <c r="I30" s="231"/>
      <c r="J30" s="231"/>
      <c r="K30" s="231"/>
      <c r="L30" s="231"/>
      <c r="M30" s="231"/>
      <c r="N30" s="231"/>
      <c r="O30" s="232"/>
      <c r="P30" s="184"/>
      <c r="Q30" s="184"/>
      <c r="R30" s="184"/>
      <c r="S30" s="98"/>
    </row>
    <row r="31" spans="1:19" x14ac:dyDescent="0.25">
      <c r="A31" s="86" t="s">
        <v>34</v>
      </c>
      <c r="B31" s="196" t="s">
        <v>50</v>
      </c>
      <c r="C31" s="98"/>
      <c r="D31" s="98">
        <f>INDEX(Tabellen!$AC$55:$AG$57,MATCH(B31,Tabellen!$AC$55:$AC$57,0),MATCH($B$6,Tabellen!$AD$55:$AG$55,0)+1)</f>
        <v>0</v>
      </c>
      <c r="E31" s="98"/>
      <c r="F31" s="184">
        <f>IF(B31="+1D10",1,0)</f>
        <v>0</v>
      </c>
      <c r="G31" s="143"/>
      <c r="H31" s="122"/>
      <c r="I31" s="122"/>
      <c r="J31" s="122"/>
      <c r="K31" s="122"/>
      <c r="L31" s="122"/>
      <c r="M31" s="122"/>
      <c r="N31" s="123"/>
      <c r="O31" s="121"/>
      <c r="P31" s="184"/>
      <c r="Q31" s="184"/>
      <c r="R31" s="184"/>
      <c r="S31" s="98"/>
    </row>
    <row r="32" spans="1:19" x14ac:dyDescent="0.25">
      <c r="A32" s="86" t="s">
        <v>445</v>
      </c>
      <c r="B32" s="196" t="s">
        <v>47</v>
      </c>
      <c r="C32" s="98"/>
      <c r="D32" s="98">
        <f>INDEX(Tabellen!$J$19:$K$23,MATCH(B32,Tabellen!$J$19:$J$23,0),2)</f>
        <v>0</v>
      </c>
      <c r="E32" s="98"/>
      <c r="F32" s="184">
        <f>IF(B32="normal",0,B32)</f>
        <v>0</v>
      </c>
      <c r="G32" s="132" t="s">
        <v>343</v>
      </c>
      <c r="H32" s="125"/>
      <c r="I32" s="125"/>
      <c r="J32" s="94" t="s">
        <v>422</v>
      </c>
      <c r="K32" s="94"/>
      <c r="L32" s="94"/>
      <c r="M32" s="146" t="s">
        <v>78</v>
      </c>
      <c r="N32" s="94"/>
      <c r="O32" s="130" t="s">
        <v>344</v>
      </c>
      <c r="P32" s="184"/>
      <c r="Q32" s="184"/>
      <c r="R32" s="184"/>
      <c r="S32" s="98"/>
    </row>
    <row r="33" spans="1:19" x14ac:dyDescent="0.25">
      <c r="A33" s="86" t="s">
        <v>335</v>
      </c>
      <c r="B33" s="198" t="s">
        <v>47</v>
      </c>
      <c r="C33" s="98"/>
      <c r="D33" s="98">
        <f>INDEX(Tabellen!$AC$61:$AG$70,MATCH(B33,Tabellen!$AC$61:$AC$70,0),MATCH($B$6,Tabellen!$AD$61:$AG$61,0)+1)</f>
        <v>0</v>
      </c>
      <c r="E33" s="98"/>
      <c r="F33" s="184">
        <f>IF(B33="normal",0,B33)</f>
        <v>0</v>
      </c>
      <c r="G33" s="200"/>
      <c r="H33" s="129"/>
      <c r="I33" s="106"/>
      <c r="J33" s="106" t="str">
        <f>$B$7</f>
        <v>Wood</v>
      </c>
      <c r="K33" s="106"/>
      <c r="L33" s="106"/>
      <c r="M33" s="106" t="str">
        <f>$B$6</f>
        <v>Medium</v>
      </c>
      <c r="N33" s="141"/>
      <c r="O33" s="147">
        <f>D44</f>
        <v>50</v>
      </c>
      <c r="P33" s="184"/>
      <c r="Q33" s="184"/>
      <c r="R33" s="184"/>
      <c r="S33" s="98"/>
    </row>
    <row r="34" spans="1:19" ht="15.75" thickBot="1" x14ac:dyDescent="0.3">
      <c r="A34" s="98"/>
      <c r="B34" s="98"/>
      <c r="C34" s="98"/>
      <c r="D34" s="98"/>
      <c r="E34" s="98"/>
      <c r="F34" s="184"/>
      <c r="G34" s="61"/>
      <c r="H34" s="62"/>
      <c r="I34" s="62"/>
      <c r="J34" s="62"/>
      <c r="K34" s="62"/>
      <c r="L34" s="62"/>
      <c r="M34" s="62"/>
      <c r="N34" s="62"/>
      <c r="O34" s="63"/>
      <c r="P34" s="184"/>
      <c r="Q34" s="184"/>
      <c r="R34" s="184"/>
      <c r="S34" s="98"/>
    </row>
    <row r="35" spans="1:19" x14ac:dyDescent="0.25">
      <c r="A35" s="86" t="s">
        <v>334</v>
      </c>
      <c r="B35" s="198" t="s">
        <v>47</v>
      </c>
      <c r="C35" s="98"/>
      <c r="D35" s="98">
        <f>INDEX(Tabellen!$AC$74:$AG$87,MATCH(B35,Tabellen!$AC$74:$AC$87,0),MATCH($B$6,Tabellen!$AD$74:$AG$74,0)+1)</f>
        <v>0</v>
      </c>
      <c r="E35" s="98"/>
      <c r="F35" s="184">
        <f>IF(B35="normal",0,B35)</f>
        <v>0</v>
      </c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</row>
    <row r="36" spans="1:19" x14ac:dyDescent="0.25">
      <c r="A36" s="86" t="s">
        <v>35</v>
      </c>
      <c r="B36" s="196" t="s">
        <v>50</v>
      </c>
      <c r="C36" s="98"/>
      <c r="D36" s="98">
        <f>INDEX(Tabellen!$AC$91:$AG$94,MATCH(B36,Tabellen!$AC$91:$AC$94,0),MATCH($B$6,Tabellen!$AD$91:$AG$91,0)+1)</f>
        <v>0</v>
      </c>
      <c r="E36" s="98"/>
      <c r="F36" s="188">
        <f>IF(B36="+1D6",1,(IF(B36="+2D6",2,0)))</f>
        <v>0</v>
      </c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</row>
    <row r="37" spans="1:19" x14ac:dyDescent="0.25">
      <c r="A37" s="86" t="s">
        <v>446</v>
      </c>
      <c r="B37" s="196" t="s">
        <v>47</v>
      </c>
      <c r="C37" s="98"/>
      <c r="D37" s="98">
        <f>INDEX(Tabellen!$J$19:$K$23,MATCH(B37,Tabellen!$J$19:$J$23,0),2)</f>
        <v>0</v>
      </c>
      <c r="E37" s="98"/>
      <c r="F37" s="188">
        <f>IF(B37="normal",0,B37)</f>
        <v>0</v>
      </c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</row>
    <row r="38" spans="1:19" x14ac:dyDescent="0.25">
      <c r="A38" s="86" t="s">
        <v>336</v>
      </c>
      <c r="B38" s="198" t="s">
        <v>47</v>
      </c>
      <c r="C38" s="98"/>
      <c r="D38" s="98">
        <f>INDEX(Tabellen!$AC$98:$AG$104,MATCH(B38,Tabellen!$AC$98:$AC$104,0),MATCH($B$6,Tabellen!$AD$98:$AG$98,0)+1)</f>
        <v>0</v>
      </c>
      <c r="E38" s="98"/>
      <c r="F38" s="184">
        <f>IF(B38="normal",0,B38)</f>
        <v>0</v>
      </c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</row>
    <row r="39" spans="1:19" ht="15" customHeight="1" x14ac:dyDescent="0.25">
      <c r="A39" s="86" t="s">
        <v>387</v>
      </c>
      <c r="B39" s="196" t="s">
        <v>47</v>
      </c>
      <c r="C39" s="98"/>
      <c r="D39" s="98">
        <f>INDEX(Tabellen!$AC$108:$AG$118,MATCH(B39,Tabellen!$AC$108:$AC$118,0),MATCH($B$6,Tabellen!$AD$108:$AG$108,0)+1)</f>
        <v>0</v>
      </c>
      <c r="E39" s="98"/>
      <c r="F39" s="184">
        <f>IF(B39="normal",0,B39)</f>
        <v>0</v>
      </c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</row>
    <row r="40" spans="1:19" x14ac:dyDescent="0.25">
      <c r="A40" s="82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</row>
    <row r="41" spans="1:19" x14ac:dyDescent="0.25">
      <c r="A41" s="82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</row>
    <row r="42" spans="1:19" x14ac:dyDescent="0.25">
      <c r="A42" s="79"/>
      <c r="B42" s="79"/>
      <c r="C42" s="79"/>
      <c r="D42" s="79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</row>
    <row r="43" spans="1:19" x14ac:dyDescent="0.25">
      <c r="A43" s="83"/>
      <c r="B43" s="155"/>
      <c r="C43" s="148"/>
      <c r="D43" s="148"/>
      <c r="E43" s="14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</row>
    <row r="44" spans="1:19" ht="15.75" thickBot="1" x14ac:dyDescent="0.3">
      <c r="A44" s="156"/>
      <c r="B44" s="149"/>
      <c r="C44" s="150" t="s">
        <v>348</v>
      </c>
      <c r="D44" s="158">
        <f>SUM(D6:D41)</f>
        <v>50</v>
      </c>
      <c r="E44" s="151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</row>
    <row r="45" spans="1:19" ht="15.75" thickTop="1" x14ac:dyDescent="0.25">
      <c r="A45" s="98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</row>
    <row r="46" spans="1:19" x14ac:dyDescent="0.25">
      <c r="A46" s="98"/>
      <c r="B46" s="98"/>
      <c r="C46" s="159"/>
      <c r="D46" s="159"/>
      <c r="E46" s="157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</row>
    <row r="47" spans="1:19" x14ac:dyDescent="0.25">
      <c r="A47" s="98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</row>
    <row r="48" spans="1:19" x14ac:dyDescent="0.25">
      <c r="A48" s="98"/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</row>
    <row r="49" spans="1:19" x14ac:dyDescent="0.25">
      <c r="A49" s="98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</row>
    <row r="50" spans="1:19" x14ac:dyDescent="0.25">
      <c r="A50" s="98"/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</row>
    <row r="51" spans="1:19" x14ac:dyDescent="0.25">
      <c r="A51" s="98"/>
      <c r="B51" s="98"/>
      <c r="C51" s="98"/>
      <c r="D51" s="98"/>
      <c r="E51" s="98"/>
      <c r="F51" s="98"/>
      <c r="G51" s="228" t="s">
        <v>376</v>
      </c>
      <c r="H51" s="229"/>
      <c r="I51" s="229"/>
      <c r="J51" s="229"/>
      <c r="K51" s="229"/>
      <c r="L51" s="229"/>
      <c r="M51" s="229"/>
      <c r="N51" s="229"/>
      <c r="O51" s="229"/>
      <c r="P51" s="98"/>
      <c r="Q51" s="98"/>
      <c r="R51" s="98"/>
      <c r="S51" s="98"/>
    </row>
    <row r="52" spans="1:19" x14ac:dyDescent="0.25">
      <c r="A52" s="98"/>
      <c r="B52" s="98"/>
      <c r="C52" s="98"/>
      <c r="D52" s="98"/>
      <c r="E52" s="98"/>
      <c r="F52" s="98"/>
      <c r="G52" s="229"/>
      <c r="H52" s="229"/>
      <c r="I52" s="229"/>
      <c r="J52" s="229"/>
      <c r="K52" s="229"/>
      <c r="L52" s="229"/>
      <c r="M52" s="229"/>
      <c r="N52" s="229"/>
      <c r="O52" s="229"/>
      <c r="P52" s="98"/>
      <c r="Q52" s="98"/>
      <c r="R52" s="98"/>
      <c r="S52" s="98"/>
    </row>
    <row r="53" spans="1:19" x14ac:dyDescent="0.25">
      <c r="A53" s="98"/>
      <c r="B53" s="98"/>
      <c r="C53" s="98"/>
      <c r="D53" s="98"/>
      <c r="E53" s="98"/>
      <c r="F53" s="98"/>
      <c r="G53" s="229"/>
      <c r="H53" s="229"/>
      <c r="I53" s="229"/>
      <c r="J53" s="229"/>
      <c r="K53" s="229"/>
      <c r="L53" s="229"/>
      <c r="M53" s="229"/>
      <c r="N53" s="229"/>
      <c r="O53" s="229"/>
      <c r="P53" s="98"/>
      <c r="Q53" s="98"/>
      <c r="R53" s="98"/>
      <c r="S53" s="98"/>
    </row>
    <row r="54" spans="1:19" x14ac:dyDescent="0.25">
      <c r="A54" s="98"/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</row>
    <row r="55" spans="1:19" x14ac:dyDescent="0.25">
      <c r="A55" s="98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</row>
    <row r="56" spans="1:19" x14ac:dyDescent="0.25">
      <c r="A56" s="98"/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</row>
    <row r="57" spans="1:19" x14ac:dyDescent="0.25">
      <c r="A57" s="98"/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</row>
    <row r="58" spans="1:19" x14ac:dyDescent="0.25">
      <c r="A58" s="98"/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</row>
    <row r="59" spans="1:19" x14ac:dyDescent="0.25">
      <c r="A59" s="98"/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</row>
    <row r="60" spans="1:19" x14ac:dyDescent="0.25">
      <c r="A60" s="98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</row>
    <row r="61" spans="1:19" x14ac:dyDescent="0.25">
      <c r="A61" s="98"/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</row>
    <row r="62" spans="1:19" x14ac:dyDescent="0.25">
      <c r="A62" s="98"/>
      <c r="B62" s="98"/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</row>
    <row r="63" spans="1:19" x14ac:dyDescent="0.25">
      <c r="A63" s="98"/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</row>
  </sheetData>
  <sheetProtection password="FDBB" sheet="1" objects="1" scenarios="1" selectLockedCells="1"/>
  <mergeCells count="3">
    <mergeCell ref="G51:O53"/>
    <mergeCell ref="G14:O30"/>
    <mergeCell ref="H4:O4"/>
  </mergeCells>
  <conditionalFormatting sqref="I10">
    <cfRule type="expression" dxfId="32" priority="13">
      <formula>$I$10="+0"</formula>
    </cfRule>
    <cfRule type="expression" dxfId="31" priority="32">
      <formula>$I$10="+0D10"</formula>
    </cfRule>
  </conditionalFormatting>
  <conditionalFormatting sqref="I9">
    <cfRule type="expression" dxfId="30" priority="14">
      <formula>$I$9="+0"</formula>
    </cfRule>
    <cfRule type="expression" dxfId="29" priority="31">
      <formula>$I$9="+0D10"</formula>
    </cfRule>
  </conditionalFormatting>
  <conditionalFormatting sqref="J9">
    <cfRule type="expression" dxfId="28" priority="30">
      <formula>$J$9=0</formula>
    </cfRule>
  </conditionalFormatting>
  <conditionalFormatting sqref="M9">
    <cfRule type="expression" dxfId="27" priority="29">
      <formula>$M$9=0</formula>
    </cfRule>
  </conditionalFormatting>
  <conditionalFormatting sqref="M10">
    <cfRule type="expression" dxfId="26" priority="28">
      <formula>$M$10=0</formula>
    </cfRule>
  </conditionalFormatting>
  <conditionalFormatting sqref="M11">
    <cfRule type="expression" dxfId="25" priority="27">
      <formula>$M$11=0</formula>
    </cfRule>
  </conditionalFormatting>
  <conditionalFormatting sqref="N10">
    <cfRule type="expression" dxfId="24" priority="20">
      <formula>$N$10="-2 per -1"""</formula>
    </cfRule>
    <cfRule type="expression" dxfId="23" priority="26">
      <formula>$N$10="-2 per 0"""</formula>
    </cfRule>
  </conditionalFormatting>
  <conditionalFormatting sqref="N9">
    <cfRule type="expression" dxfId="22" priority="21">
      <formula>$N$9="-2 per -1"""</formula>
    </cfRule>
    <cfRule type="expression" dxfId="21" priority="25">
      <formula>$N$9="-2 per 0"""</formula>
    </cfRule>
  </conditionalFormatting>
  <conditionalFormatting sqref="N11">
    <cfRule type="expression" dxfId="20" priority="19">
      <formula>$N$11="-2 per -1"""</formula>
    </cfRule>
    <cfRule type="expression" dxfId="19" priority="24">
      <formula>$N$11="-2 per 0"""</formula>
    </cfRule>
  </conditionalFormatting>
  <conditionalFormatting sqref="J10">
    <cfRule type="expression" dxfId="18" priority="23">
      <formula>$J$10=0</formula>
    </cfRule>
  </conditionalFormatting>
  <conditionalFormatting sqref="J11">
    <cfRule type="expression" dxfId="17" priority="22">
      <formula>$J$11=0</formula>
    </cfRule>
  </conditionalFormatting>
  <conditionalFormatting sqref="I11">
    <cfRule type="expression" dxfId="16" priority="12">
      <formula>$I$11="+0"</formula>
    </cfRule>
    <cfRule type="expression" dxfId="15" priority="18">
      <formula>$I$11="+0D10"</formula>
    </cfRule>
  </conditionalFormatting>
  <conditionalFormatting sqref="H9">
    <cfRule type="expression" dxfId="14" priority="17">
      <formula>$H$9="0"</formula>
    </cfRule>
  </conditionalFormatting>
  <conditionalFormatting sqref="H10">
    <cfRule type="expression" dxfId="13" priority="16">
      <formula>$H$10="0"</formula>
    </cfRule>
  </conditionalFormatting>
  <conditionalFormatting sqref="H11">
    <cfRule type="expression" dxfId="12" priority="15">
      <formula>$H$11="0"</formula>
    </cfRule>
  </conditionalFormatting>
  <conditionalFormatting sqref="K9:L9">
    <cfRule type="expression" dxfId="11" priority="11">
      <formula>$K$9=0</formula>
    </cfRule>
  </conditionalFormatting>
  <conditionalFormatting sqref="K10:L10">
    <cfRule type="expression" dxfId="10" priority="10">
      <formula>$K$10=0</formula>
    </cfRule>
  </conditionalFormatting>
  <conditionalFormatting sqref="K11:L11">
    <cfRule type="expression" dxfId="9" priority="9">
      <formula>$K$11=0</formula>
    </cfRule>
  </conditionalFormatting>
  <conditionalFormatting sqref="I12">
    <cfRule type="expression" dxfId="8" priority="3">
      <formula>$I$12="+0"</formula>
    </cfRule>
    <cfRule type="expression" dxfId="7" priority="8">
      <formula>$I$12="+0D10"</formula>
    </cfRule>
  </conditionalFormatting>
  <conditionalFormatting sqref="M12">
    <cfRule type="expression" dxfId="6" priority="7">
      <formula>$M$12=0</formula>
    </cfRule>
  </conditionalFormatting>
  <conditionalFormatting sqref="N12">
    <cfRule type="expression" dxfId="5" priority="4">
      <formula>$N$12="-2 per -1"""</formula>
    </cfRule>
    <cfRule type="expression" dxfId="4" priority="6">
      <formula>$N$12="-2 per 0"""</formula>
    </cfRule>
  </conditionalFormatting>
  <conditionalFormatting sqref="J12">
    <cfRule type="expression" dxfId="3" priority="5">
      <formula>$J$12=0</formula>
    </cfRule>
  </conditionalFormatting>
  <conditionalFormatting sqref="K12:L12">
    <cfRule type="expression" dxfId="2" priority="2">
      <formula>$K$12=0</formula>
    </cfRule>
  </conditionalFormatting>
  <conditionalFormatting sqref="H12">
    <cfRule type="expression" dxfId="1" priority="1">
      <formula>$H$12="0"</formula>
    </cfRule>
  </conditionalFormatting>
  <dataValidations count="16">
    <dataValidation type="list" allowBlank="1" showInputMessage="1" showErrorMessage="1" sqref="B21:B24">
      <formula1>SiegeWeaponMenu</formula1>
    </dataValidation>
    <dataValidation type="list" allowBlank="1" showInputMessage="1" showErrorMessage="1" sqref="B39">
      <formula1>SiegeRangeModMenu</formula1>
    </dataValidation>
    <dataValidation type="list" allowBlank="1" showInputMessage="1" showErrorMessage="1" sqref="B38">
      <formula1>SiegeMissileDamageMenu</formula1>
    </dataValidation>
    <dataValidation type="list" allowBlank="1" showInputMessage="1" showErrorMessage="1" sqref="B36">
      <formula1>SiegeMissileExtraD6Menu</formula1>
    </dataValidation>
    <dataValidation type="list" allowBlank="1" showInputMessage="1" showErrorMessage="1" sqref="B35">
      <formula1>SiegeMissileFixedMenu</formula1>
    </dataValidation>
    <dataValidation type="list" allowBlank="1" showInputMessage="1" showErrorMessage="1" sqref="B33">
      <formula1>SiegeMeleeDamageMenu</formula1>
    </dataValidation>
    <dataValidation type="list" allowBlank="1" showInputMessage="1" showErrorMessage="1" sqref="B31">
      <formula1>SiegeMeleeExtraD10Menu</formula1>
    </dataValidation>
    <dataValidation type="list" allowBlank="1" showInputMessage="1" showErrorMessage="1" sqref="B30">
      <formula1>SiegeMeleeExtraD6Menu</formula1>
    </dataValidation>
    <dataValidation type="list" allowBlank="1" showInputMessage="1" showErrorMessage="1" sqref="B29">
      <formula1>SiegeMeleeFixedMenu</formula1>
    </dataValidation>
    <dataValidation type="list" allowBlank="1" showInputMessage="1" showErrorMessage="1" sqref="B16">
      <formula1>EnduranceMenu</formula1>
    </dataValidation>
    <dataValidation type="list" allowBlank="1" showInputMessage="1" showErrorMessage="1" sqref="B14">
      <formula1>Armor</formula1>
    </dataValidation>
    <dataValidation type="list" allowBlank="1" showInputMessage="1" showErrorMessage="1" sqref="B13">
      <formula1>ShieldBonus</formula1>
    </dataValidation>
    <dataValidation type="list" allowBlank="1" showInputMessage="1" showErrorMessage="1" sqref="B12">
      <formula1>DefenseMenu</formula1>
    </dataValidation>
    <dataValidation type="list" allowBlank="1" showInputMessage="1" showErrorMessage="1" sqref="B7">
      <formula1>MaterialMod</formula1>
    </dataValidation>
    <dataValidation type="list" allowBlank="1" showInputMessage="1" showErrorMessage="1" sqref="B6">
      <formula1>VehicleBaseCost</formula1>
    </dataValidation>
    <dataValidation type="list" allowBlank="1" showInputMessage="1" showErrorMessage="1" sqref="B32 B37">
      <formula1>DamageMultiMenu</formula1>
    </dataValidation>
  </dataValidations>
  <pageMargins left="0.7" right="0.7" top="0.78740157499999996" bottom="0.78740157499999996" header="0.3" footer="0.3"/>
  <pageSetup paperSize="9" orientation="portrait" r:id="rId1"/>
  <ignoredErrors>
    <ignoredError sqref="F36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2:BH399"/>
  <sheetViews>
    <sheetView topLeftCell="A84" zoomScaleNormal="100" workbookViewId="0">
      <selection activeCell="C103" sqref="C103"/>
    </sheetView>
  </sheetViews>
  <sheetFormatPr baseColWidth="10" defaultRowHeight="15" x14ac:dyDescent="0.25"/>
  <cols>
    <col min="1" max="1" width="17.5703125" bestFit="1" customWidth="1"/>
    <col min="3" max="3" width="11.42578125" style="99"/>
    <col min="5" max="5" width="5" bestFit="1" customWidth="1"/>
    <col min="6" max="6" width="3.28515625" bestFit="1" customWidth="1"/>
    <col min="7" max="7" width="3.7109375" bestFit="1" customWidth="1"/>
    <col min="8" max="8" width="4.28515625" bestFit="1" customWidth="1"/>
    <col min="9" max="9" width="4.7109375" bestFit="1" customWidth="1"/>
    <col min="10" max="10" width="19.28515625" customWidth="1"/>
    <col min="20" max="24" width="11.7109375" customWidth="1"/>
    <col min="26" max="26" width="12.7109375" customWidth="1"/>
    <col min="29" max="29" width="13.42578125" customWidth="1"/>
    <col min="47" max="47" width="11.42578125" customWidth="1"/>
    <col min="50" max="51" width="11.42578125" style="99"/>
    <col min="52" max="52" width="13.140625" bestFit="1" customWidth="1"/>
    <col min="53" max="53" width="10" bestFit="1" customWidth="1"/>
    <col min="55" max="55" width="12.7109375" bestFit="1" customWidth="1"/>
    <col min="57" max="57" width="8.42578125" bestFit="1" customWidth="1"/>
    <col min="59" max="59" width="7.28515625" bestFit="1" customWidth="1"/>
    <col min="60" max="60" width="10.42578125" bestFit="1" customWidth="1"/>
  </cols>
  <sheetData>
    <row r="2" spans="1:60" ht="15.75" x14ac:dyDescent="0.25">
      <c r="M2" s="31" t="s">
        <v>29</v>
      </c>
      <c r="N2" s="10"/>
      <c r="O2" s="10"/>
      <c r="P2" s="10"/>
      <c r="Q2" s="1"/>
      <c r="R2" s="31" t="s">
        <v>40</v>
      </c>
      <c r="S2" s="10"/>
      <c r="T2" s="10"/>
      <c r="U2" s="10"/>
      <c r="V2" s="1"/>
      <c r="X2" s="31" t="s">
        <v>4</v>
      </c>
      <c r="Y2" s="10"/>
      <c r="Z2" s="10"/>
      <c r="AA2" s="10"/>
      <c r="AB2" s="1"/>
      <c r="AC2" s="31" t="s">
        <v>43</v>
      </c>
      <c r="AD2" s="10"/>
      <c r="AE2" s="10"/>
      <c r="AF2" s="10"/>
      <c r="AG2" s="1"/>
      <c r="AI2" s="31" t="s">
        <v>67</v>
      </c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"/>
      <c r="AZ2" s="31" t="s">
        <v>403</v>
      </c>
      <c r="BA2" s="10"/>
      <c r="BB2" s="10"/>
      <c r="BC2" s="10"/>
      <c r="BD2" s="10"/>
      <c r="BE2" s="10"/>
      <c r="BF2" s="10"/>
      <c r="BG2" s="10"/>
      <c r="BH2" s="1"/>
    </row>
    <row r="3" spans="1:60" x14ac:dyDescent="0.25">
      <c r="A3" s="4"/>
      <c r="B3" s="4"/>
      <c r="C3" s="4"/>
      <c r="D3" s="4"/>
      <c r="M3" s="2" t="s">
        <v>36</v>
      </c>
      <c r="N3" s="4" t="s">
        <v>37</v>
      </c>
      <c r="O3" s="4" t="s">
        <v>38</v>
      </c>
      <c r="P3" s="4" t="s">
        <v>39</v>
      </c>
      <c r="Q3" s="3"/>
      <c r="R3" s="2" t="s">
        <v>29</v>
      </c>
      <c r="S3" s="4" t="s">
        <v>36</v>
      </c>
      <c r="T3" s="4" t="s">
        <v>37</v>
      </c>
      <c r="U3" s="4" t="s">
        <v>38</v>
      </c>
      <c r="V3" s="3" t="s">
        <v>39</v>
      </c>
      <c r="X3" s="2" t="s">
        <v>36</v>
      </c>
      <c r="Y3" s="4" t="s">
        <v>37</v>
      </c>
      <c r="Z3" s="4" t="s">
        <v>38</v>
      </c>
      <c r="AA3" s="4" t="s">
        <v>39</v>
      </c>
      <c r="AB3" s="3"/>
      <c r="AC3" s="2" t="s">
        <v>4</v>
      </c>
      <c r="AD3" s="4" t="s">
        <v>36</v>
      </c>
      <c r="AE3" s="4" t="s">
        <v>37</v>
      </c>
      <c r="AF3" s="4" t="s">
        <v>38</v>
      </c>
      <c r="AG3" s="3" t="s">
        <v>39</v>
      </c>
      <c r="AI3" s="21" t="s">
        <v>66</v>
      </c>
      <c r="AJ3" s="4" t="s">
        <v>11</v>
      </c>
      <c r="AK3" s="27" t="s">
        <v>68</v>
      </c>
      <c r="AL3" s="4" t="s">
        <v>45</v>
      </c>
      <c r="AM3" s="27" t="s">
        <v>56</v>
      </c>
      <c r="AN3" s="4" t="s">
        <v>58</v>
      </c>
      <c r="AO3" s="27" t="s">
        <v>62</v>
      </c>
      <c r="AP3" s="4" t="s">
        <v>64</v>
      </c>
      <c r="AQ3" s="20" t="s">
        <v>0</v>
      </c>
      <c r="AR3" s="4" t="s">
        <v>3</v>
      </c>
      <c r="AS3" s="20" t="s">
        <v>31</v>
      </c>
      <c r="AT3" s="20" t="s">
        <v>4</v>
      </c>
      <c r="AU3" s="20" t="s">
        <v>32</v>
      </c>
      <c r="AV3" s="20" t="s">
        <v>30</v>
      </c>
      <c r="AW3" s="191" t="s">
        <v>168</v>
      </c>
      <c r="AX3" s="6" t="s">
        <v>454</v>
      </c>
      <c r="AY3" s="11"/>
      <c r="AZ3" s="192" t="s">
        <v>385</v>
      </c>
      <c r="BA3" s="27" t="s">
        <v>11</v>
      </c>
      <c r="BB3" s="191" t="s">
        <v>30</v>
      </c>
      <c r="BC3" s="27" t="s">
        <v>168</v>
      </c>
      <c r="BD3" s="191" t="s">
        <v>404</v>
      </c>
      <c r="BE3" s="27" t="s">
        <v>0</v>
      </c>
      <c r="BF3" s="191" t="s">
        <v>405</v>
      </c>
      <c r="BG3" s="27" t="s">
        <v>4</v>
      </c>
      <c r="BH3" s="193" t="s">
        <v>32</v>
      </c>
    </row>
    <row r="4" spans="1:60" ht="15.75" x14ac:dyDescent="0.25">
      <c r="A4" s="31" t="s">
        <v>78</v>
      </c>
      <c r="B4" s="10" t="s">
        <v>79</v>
      </c>
      <c r="C4" s="10"/>
      <c r="D4" s="64" t="s">
        <v>123</v>
      </c>
      <c r="M4" s="2">
        <v>3</v>
      </c>
      <c r="N4" s="4">
        <v>5</v>
      </c>
      <c r="O4" s="4">
        <v>7</v>
      </c>
      <c r="P4" s="4">
        <v>9</v>
      </c>
      <c r="Q4" s="3"/>
      <c r="R4" s="2">
        <v>3</v>
      </c>
      <c r="S4" s="4">
        <v>0</v>
      </c>
      <c r="T4" s="4"/>
      <c r="U4" s="4"/>
      <c r="V4" s="3"/>
      <c r="X4" s="2">
        <v>9</v>
      </c>
      <c r="Y4" s="4">
        <v>10</v>
      </c>
      <c r="Z4" s="4">
        <v>10</v>
      </c>
      <c r="AA4" s="4">
        <v>10</v>
      </c>
      <c r="AB4" s="3"/>
      <c r="AC4" s="2">
        <v>10</v>
      </c>
      <c r="AD4" s="4"/>
      <c r="AE4" s="4">
        <v>0</v>
      </c>
      <c r="AF4" s="4">
        <v>0</v>
      </c>
      <c r="AG4" s="3">
        <v>0</v>
      </c>
      <c r="AI4" s="2" t="s">
        <v>12</v>
      </c>
      <c r="AJ4" s="4">
        <v>0</v>
      </c>
      <c r="AK4" s="22">
        <v>0</v>
      </c>
      <c r="AL4" s="22">
        <v>0</v>
      </c>
      <c r="AM4" s="22">
        <v>0</v>
      </c>
      <c r="AN4" s="22">
        <v>0</v>
      </c>
      <c r="AO4" s="22">
        <v>0</v>
      </c>
      <c r="AP4" s="22">
        <v>0</v>
      </c>
      <c r="AQ4" s="22">
        <v>0</v>
      </c>
      <c r="AR4" s="22">
        <v>0</v>
      </c>
      <c r="AS4" s="22">
        <v>0</v>
      </c>
      <c r="AT4" s="22">
        <v>0</v>
      </c>
      <c r="AU4" s="22">
        <v>0</v>
      </c>
      <c r="AV4" s="22">
        <v>0</v>
      </c>
      <c r="AW4" s="22">
        <v>0</v>
      </c>
      <c r="AX4" s="28">
        <v>0</v>
      </c>
      <c r="AZ4" s="2" t="s">
        <v>243</v>
      </c>
      <c r="BA4" s="22">
        <v>0</v>
      </c>
      <c r="BB4" s="22">
        <v>0</v>
      </c>
      <c r="BC4" s="22">
        <v>0</v>
      </c>
      <c r="BD4" s="22">
        <v>0</v>
      </c>
      <c r="BE4" s="22">
        <v>0</v>
      </c>
      <c r="BF4" s="22">
        <v>0</v>
      </c>
      <c r="BG4" s="22">
        <v>0</v>
      </c>
      <c r="BH4" s="28">
        <v>0</v>
      </c>
    </row>
    <row r="5" spans="1:60" x14ac:dyDescent="0.25">
      <c r="A5" s="35" t="s">
        <v>36</v>
      </c>
      <c r="B5" s="4">
        <v>40</v>
      </c>
      <c r="C5" s="4"/>
      <c r="D5" s="8">
        <v>150</v>
      </c>
      <c r="F5" s="57"/>
      <c r="G5" s="57"/>
      <c r="H5" s="57"/>
      <c r="I5" s="57"/>
      <c r="M5" s="2">
        <v>4</v>
      </c>
      <c r="N5" s="4">
        <v>6</v>
      </c>
      <c r="O5" s="4">
        <v>8</v>
      </c>
      <c r="P5" s="4">
        <v>10</v>
      </c>
      <c r="Q5" s="3"/>
      <c r="R5" s="2">
        <v>4</v>
      </c>
      <c r="S5" s="4">
        <v>5</v>
      </c>
      <c r="T5" s="4"/>
      <c r="U5" s="4"/>
      <c r="V5" s="3"/>
      <c r="X5" s="2">
        <v>8</v>
      </c>
      <c r="Y5" s="4">
        <v>9</v>
      </c>
      <c r="Z5" s="4">
        <v>9</v>
      </c>
      <c r="AA5" s="4">
        <v>9</v>
      </c>
      <c r="AB5" s="3"/>
      <c r="AC5" s="2">
        <v>9</v>
      </c>
      <c r="AD5" s="4">
        <v>0</v>
      </c>
      <c r="AE5" s="4">
        <v>5</v>
      </c>
      <c r="AF5" s="4">
        <v>5</v>
      </c>
      <c r="AG5" s="3">
        <v>5</v>
      </c>
      <c r="AI5" s="2" t="s">
        <v>13</v>
      </c>
      <c r="AJ5" s="4">
        <v>7</v>
      </c>
      <c r="AK5" s="22">
        <v>-1</v>
      </c>
      <c r="AL5" s="22">
        <v>1</v>
      </c>
      <c r="AM5" s="22">
        <v>0</v>
      </c>
      <c r="AN5" s="22">
        <v>-1</v>
      </c>
      <c r="AO5" s="22">
        <v>0</v>
      </c>
      <c r="AP5" s="22">
        <v>0</v>
      </c>
      <c r="AQ5" s="22">
        <v>0</v>
      </c>
      <c r="AR5" s="22">
        <v>0</v>
      </c>
      <c r="AS5" s="22">
        <v>2</v>
      </c>
      <c r="AT5" s="22">
        <v>0</v>
      </c>
      <c r="AU5" s="22">
        <v>-4</v>
      </c>
      <c r="AV5" s="22">
        <v>2</v>
      </c>
      <c r="AW5" s="22">
        <v>0</v>
      </c>
      <c r="AX5" s="28">
        <v>0</v>
      </c>
      <c r="AZ5" s="2" t="s">
        <v>472</v>
      </c>
      <c r="BA5" s="22">
        <v>50</v>
      </c>
      <c r="BB5" s="22">
        <v>0</v>
      </c>
      <c r="BC5" s="22">
        <v>0</v>
      </c>
      <c r="BD5" s="22">
        <v>2</v>
      </c>
      <c r="BE5" s="22">
        <v>0</v>
      </c>
      <c r="BF5" s="22">
        <v>1</v>
      </c>
      <c r="BG5" s="22">
        <v>0</v>
      </c>
      <c r="BH5" s="28">
        <v>0</v>
      </c>
    </row>
    <row r="6" spans="1:60" x14ac:dyDescent="0.25">
      <c r="A6" s="35" t="s">
        <v>37</v>
      </c>
      <c r="B6" s="4">
        <v>50</v>
      </c>
      <c r="C6" s="4"/>
      <c r="D6" s="8">
        <v>250</v>
      </c>
      <c r="F6" s="57"/>
      <c r="G6" s="57"/>
      <c r="H6" s="57"/>
      <c r="I6" s="57"/>
      <c r="M6" s="2">
        <v>5</v>
      </c>
      <c r="N6" s="4">
        <v>7</v>
      </c>
      <c r="O6" s="4">
        <v>9</v>
      </c>
      <c r="P6" s="4">
        <v>11</v>
      </c>
      <c r="Q6" s="3"/>
      <c r="R6" s="2">
        <v>5</v>
      </c>
      <c r="S6" s="4">
        <v>10</v>
      </c>
      <c r="T6" s="4">
        <v>0</v>
      </c>
      <c r="U6" s="4"/>
      <c r="V6" s="3"/>
      <c r="X6" s="2">
        <v>7</v>
      </c>
      <c r="Y6" s="4">
        <v>8</v>
      </c>
      <c r="Z6" s="4">
        <v>8</v>
      </c>
      <c r="AA6" s="4">
        <v>8</v>
      </c>
      <c r="AB6" s="3"/>
      <c r="AC6" s="2">
        <v>8</v>
      </c>
      <c r="AD6" s="4">
        <v>5</v>
      </c>
      <c r="AE6" s="4">
        <v>10</v>
      </c>
      <c r="AF6" s="4">
        <v>10</v>
      </c>
      <c r="AG6" s="3">
        <v>10</v>
      </c>
      <c r="AI6" s="2" t="s">
        <v>14</v>
      </c>
      <c r="AJ6" s="4">
        <v>41</v>
      </c>
      <c r="AK6" s="22">
        <v>2</v>
      </c>
      <c r="AL6" s="22">
        <v>0</v>
      </c>
      <c r="AM6" s="22">
        <v>0</v>
      </c>
      <c r="AN6" s="22">
        <v>2</v>
      </c>
      <c r="AO6" s="22">
        <v>0</v>
      </c>
      <c r="AP6" s="22">
        <v>4</v>
      </c>
      <c r="AQ6" s="22">
        <v>1</v>
      </c>
      <c r="AR6" s="22">
        <v>0</v>
      </c>
      <c r="AS6" s="22">
        <v>-2</v>
      </c>
      <c r="AT6" s="22">
        <v>0</v>
      </c>
      <c r="AU6" s="22">
        <v>1</v>
      </c>
      <c r="AV6" s="22">
        <v>0</v>
      </c>
      <c r="AW6" s="22">
        <v>0</v>
      </c>
      <c r="AX6" s="28">
        <v>0</v>
      </c>
      <c r="AZ6" s="2" t="s">
        <v>473</v>
      </c>
      <c r="BA6" s="22">
        <v>50</v>
      </c>
      <c r="BB6" s="22">
        <v>5</v>
      </c>
      <c r="BC6" s="22">
        <v>0</v>
      </c>
      <c r="BD6" s="22">
        <v>0</v>
      </c>
      <c r="BE6" s="22">
        <v>0</v>
      </c>
      <c r="BF6" s="22">
        <v>0</v>
      </c>
      <c r="BG6" s="22">
        <v>-2</v>
      </c>
      <c r="BH6" s="28">
        <v>0</v>
      </c>
    </row>
    <row r="7" spans="1:60" x14ac:dyDescent="0.25">
      <c r="A7" s="35" t="s">
        <v>38</v>
      </c>
      <c r="B7" s="4">
        <v>60</v>
      </c>
      <c r="C7" s="4"/>
      <c r="D7" s="8">
        <v>400</v>
      </c>
      <c r="F7" s="57"/>
      <c r="G7" s="57"/>
      <c r="H7" s="57"/>
      <c r="I7" s="57"/>
      <c r="M7" s="2">
        <v>6</v>
      </c>
      <c r="N7" s="4">
        <v>8</v>
      </c>
      <c r="O7" s="4">
        <v>10</v>
      </c>
      <c r="P7" s="4">
        <v>12</v>
      </c>
      <c r="Q7" s="3"/>
      <c r="R7" s="2">
        <v>6</v>
      </c>
      <c r="S7" s="4">
        <v>15</v>
      </c>
      <c r="T7" s="4">
        <v>5</v>
      </c>
      <c r="U7" s="4"/>
      <c r="V7" s="3"/>
      <c r="X7" s="2">
        <v>6</v>
      </c>
      <c r="Y7" s="4">
        <v>7</v>
      </c>
      <c r="Z7" s="4">
        <v>7</v>
      </c>
      <c r="AA7" s="4">
        <v>7</v>
      </c>
      <c r="AB7" s="3"/>
      <c r="AC7" s="2">
        <v>7</v>
      </c>
      <c r="AD7" s="4">
        <v>10</v>
      </c>
      <c r="AE7" s="4">
        <v>15</v>
      </c>
      <c r="AF7" s="4">
        <v>15</v>
      </c>
      <c r="AG7" s="3">
        <v>15</v>
      </c>
      <c r="AI7" s="2" t="s">
        <v>15</v>
      </c>
      <c r="AJ7" s="4">
        <v>25</v>
      </c>
      <c r="AK7" s="22">
        <v>4</v>
      </c>
      <c r="AL7" s="22">
        <v>-2</v>
      </c>
      <c r="AM7" s="22">
        <v>0</v>
      </c>
      <c r="AN7" s="22">
        <v>1</v>
      </c>
      <c r="AO7" s="22">
        <v>0</v>
      </c>
      <c r="AP7" s="22">
        <v>2</v>
      </c>
      <c r="AQ7" s="22">
        <v>0</v>
      </c>
      <c r="AR7" s="22">
        <v>0</v>
      </c>
      <c r="AS7" s="22">
        <v>-3</v>
      </c>
      <c r="AT7" s="22">
        <v>0</v>
      </c>
      <c r="AU7" s="22">
        <v>1</v>
      </c>
      <c r="AV7" s="22">
        <v>0</v>
      </c>
      <c r="AW7" s="22">
        <v>0</v>
      </c>
      <c r="AX7" s="28">
        <v>0</v>
      </c>
      <c r="AZ7" s="2" t="s">
        <v>474</v>
      </c>
      <c r="BA7" s="22">
        <v>50</v>
      </c>
      <c r="BB7" s="22">
        <v>5</v>
      </c>
      <c r="BC7" s="22">
        <v>0</v>
      </c>
      <c r="BD7" s="22">
        <v>0</v>
      </c>
      <c r="BE7" s="22">
        <v>0</v>
      </c>
      <c r="BF7" s="22">
        <v>0</v>
      </c>
      <c r="BG7" s="22">
        <v>-2</v>
      </c>
      <c r="BH7" s="28">
        <v>6</v>
      </c>
    </row>
    <row r="8" spans="1:60" x14ac:dyDescent="0.25">
      <c r="A8" s="36" t="s">
        <v>39</v>
      </c>
      <c r="B8" s="14">
        <v>75</v>
      </c>
      <c r="C8" s="14"/>
      <c r="D8" s="37">
        <v>1500</v>
      </c>
      <c r="F8" s="57"/>
      <c r="G8" s="57"/>
      <c r="H8" s="57"/>
      <c r="I8" s="57"/>
      <c r="M8" s="2">
        <v>7</v>
      </c>
      <c r="N8" s="4">
        <v>9</v>
      </c>
      <c r="O8" s="4">
        <v>11</v>
      </c>
      <c r="P8" s="4">
        <v>13</v>
      </c>
      <c r="Q8" s="3"/>
      <c r="R8" s="2">
        <v>7</v>
      </c>
      <c r="S8" s="4">
        <v>20</v>
      </c>
      <c r="T8" s="4">
        <v>10</v>
      </c>
      <c r="U8" s="4">
        <v>0</v>
      </c>
      <c r="V8" s="3"/>
      <c r="X8" s="2">
        <v>5</v>
      </c>
      <c r="Y8" s="4">
        <v>6</v>
      </c>
      <c r="Z8" s="4">
        <v>6</v>
      </c>
      <c r="AA8" s="4">
        <v>6</v>
      </c>
      <c r="AB8" s="3"/>
      <c r="AC8" s="2">
        <v>6</v>
      </c>
      <c r="AD8" s="4">
        <v>15</v>
      </c>
      <c r="AE8" s="4">
        <v>20</v>
      </c>
      <c r="AF8" s="4">
        <v>20</v>
      </c>
      <c r="AG8" s="3">
        <v>20</v>
      </c>
      <c r="AI8" s="7" t="s">
        <v>488</v>
      </c>
      <c r="AJ8" s="57">
        <v>0</v>
      </c>
      <c r="AK8" s="218">
        <v>1</v>
      </c>
      <c r="AL8" s="218">
        <v>0</v>
      </c>
      <c r="AM8" s="218">
        <v>0</v>
      </c>
      <c r="AN8" s="218">
        <v>-2</v>
      </c>
      <c r="AO8" s="218">
        <v>0</v>
      </c>
      <c r="AP8" s="218">
        <v>0</v>
      </c>
      <c r="AQ8" s="218">
        <v>1</v>
      </c>
      <c r="AR8" s="218">
        <v>0</v>
      </c>
      <c r="AS8" s="218">
        <v>-1</v>
      </c>
      <c r="AT8" s="218">
        <v>1</v>
      </c>
      <c r="AU8" s="218">
        <v>1</v>
      </c>
      <c r="AV8" s="218">
        <v>0</v>
      </c>
      <c r="AW8" s="218">
        <v>0</v>
      </c>
      <c r="AX8" s="219">
        <v>0</v>
      </c>
      <c r="AZ8" s="2" t="s">
        <v>475</v>
      </c>
      <c r="BA8" s="22">
        <v>50</v>
      </c>
      <c r="BB8" s="22">
        <v>0</v>
      </c>
      <c r="BC8" s="22">
        <v>5</v>
      </c>
      <c r="BD8" s="22">
        <v>0</v>
      </c>
      <c r="BE8" s="22">
        <v>0</v>
      </c>
      <c r="BF8" s="22">
        <v>0</v>
      </c>
      <c r="BG8" s="22">
        <v>-2</v>
      </c>
      <c r="BH8" s="28">
        <v>0</v>
      </c>
    </row>
    <row r="9" spans="1:60" x14ac:dyDescent="0.25">
      <c r="M9" s="2">
        <v>8</v>
      </c>
      <c r="N9" s="4">
        <v>10</v>
      </c>
      <c r="O9" s="4">
        <v>12</v>
      </c>
      <c r="P9" s="4">
        <v>14</v>
      </c>
      <c r="Q9" s="3"/>
      <c r="R9" s="2">
        <v>8</v>
      </c>
      <c r="S9" s="4">
        <v>25</v>
      </c>
      <c r="T9" s="4">
        <v>15</v>
      </c>
      <c r="U9" s="4">
        <v>5</v>
      </c>
      <c r="V9" s="3"/>
      <c r="X9" s="2">
        <v>4</v>
      </c>
      <c r="Y9" s="4">
        <v>5</v>
      </c>
      <c r="Z9" s="4">
        <v>5</v>
      </c>
      <c r="AA9" s="4">
        <v>5</v>
      </c>
      <c r="AB9" s="3"/>
      <c r="AC9" s="2">
        <v>5</v>
      </c>
      <c r="AD9" s="4">
        <v>20</v>
      </c>
      <c r="AE9" s="4">
        <v>25</v>
      </c>
      <c r="AF9" s="4">
        <v>25</v>
      </c>
      <c r="AG9" s="3">
        <v>25</v>
      </c>
      <c r="AI9" s="2" t="s">
        <v>402</v>
      </c>
      <c r="AJ9" s="4">
        <v>-15</v>
      </c>
      <c r="AK9" s="22">
        <v>1</v>
      </c>
      <c r="AL9" s="22">
        <v>-1</v>
      </c>
      <c r="AM9" s="22">
        <v>0</v>
      </c>
      <c r="AN9" s="22">
        <v>-2</v>
      </c>
      <c r="AO9" s="22">
        <v>0</v>
      </c>
      <c r="AP9" s="22">
        <v>0</v>
      </c>
      <c r="AQ9" s="22">
        <v>1</v>
      </c>
      <c r="AR9" s="22">
        <v>0</v>
      </c>
      <c r="AS9" s="22">
        <v>0</v>
      </c>
      <c r="AT9" s="22">
        <v>1</v>
      </c>
      <c r="AU9" s="22">
        <v>1</v>
      </c>
      <c r="AV9" s="22">
        <v>0</v>
      </c>
      <c r="AW9" s="22">
        <v>0</v>
      </c>
      <c r="AX9" s="28">
        <v>0</v>
      </c>
      <c r="AZ9" s="2" t="s">
        <v>476</v>
      </c>
      <c r="BA9" s="22">
        <v>50</v>
      </c>
      <c r="BB9" s="22">
        <v>0</v>
      </c>
      <c r="BC9" s="22">
        <v>5</v>
      </c>
      <c r="BD9" s="22">
        <v>0</v>
      </c>
      <c r="BE9" s="22">
        <v>2</v>
      </c>
      <c r="BF9" s="22">
        <v>0</v>
      </c>
      <c r="BG9" s="22">
        <v>0</v>
      </c>
      <c r="BH9" s="28">
        <v>0</v>
      </c>
    </row>
    <row r="10" spans="1:60" x14ac:dyDescent="0.25">
      <c r="M10" s="2">
        <v>9</v>
      </c>
      <c r="N10" s="4">
        <v>11</v>
      </c>
      <c r="O10" s="4">
        <v>13</v>
      </c>
      <c r="P10" s="4">
        <v>15</v>
      </c>
      <c r="Q10" s="3"/>
      <c r="R10" s="2">
        <v>9</v>
      </c>
      <c r="S10" s="4">
        <v>30</v>
      </c>
      <c r="T10" s="4">
        <v>20</v>
      </c>
      <c r="U10" s="4">
        <v>10</v>
      </c>
      <c r="V10" s="3">
        <v>0</v>
      </c>
      <c r="X10" s="2">
        <v>3</v>
      </c>
      <c r="Y10" s="4">
        <v>4</v>
      </c>
      <c r="Z10" s="4">
        <v>4</v>
      </c>
      <c r="AA10" s="4">
        <v>4</v>
      </c>
      <c r="AB10" s="3"/>
      <c r="AC10" s="2">
        <v>4</v>
      </c>
      <c r="AD10" s="4">
        <v>25</v>
      </c>
      <c r="AE10" s="4">
        <v>30</v>
      </c>
      <c r="AF10" s="4">
        <v>30</v>
      </c>
      <c r="AG10" s="3">
        <v>30</v>
      </c>
      <c r="AI10" s="2" t="s">
        <v>16</v>
      </c>
      <c r="AJ10" s="4">
        <v>-10</v>
      </c>
      <c r="AK10" s="22">
        <v>0</v>
      </c>
      <c r="AL10" s="22">
        <v>0</v>
      </c>
      <c r="AM10" s="22">
        <v>0</v>
      </c>
      <c r="AN10" s="22">
        <v>-1</v>
      </c>
      <c r="AO10" s="22">
        <v>0</v>
      </c>
      <c r="AP10" s="22">
        <v>-2</v>
      </c>
      <c r="AQ10" s="22">
        <v>0</v>
      </c>
      <c r="AR10" s="22">
        <v>-1</v>
      </c>
      <c r="AS10" s="22">
        <v>1</v>
      </c>
      <c r="AT10" s="22">
        <v>1</v>
      </c>
      <c r="AU10" s="22">
        <v>0</v>
      </c>
      <c r="AV10" s="22">
        <v>0</v>
      </c>
      <c r="AW10" s="22">
        <v>0</v>
      </c>
      <c r="AX10" s="28">
        <v>0</v>
      </c>
      <c r="AZ10" s="2" t="s">
        <v>477</v>
      </c>
      <c r="BA10" s="22">
        <v>50</v>
      </c>
      <c r="BB10" s="22">
        <v>5</v>
      </c>
      <c r="BC10" s="22">
        <v>0</v>
      </c>
      <c r="BD10" s="22">
        <v>0</v>
      </c>
      <c r="BE10" s="22">
        <v>1</v>
      </c>
      <c r="BF10" s="22">
        <v>0</v>
      </c>
      <c r="BG10" s="22">
        <v>0</v>
      </c>
      <c r="BH10" s="28">
        <v>5</v>
      </c>
    </row>
    <row r="11" spans="1:60" x14ac:dyDescent="0.25">
      <c r="M11" s="2"/>
      <c r="N11" s="4">
        <v>12</v>
      </c>
      <c r="O11" s="4">
        <v>14</v>
      </c>
      <c r="P11" s="4">
        <v>16</v>
      </c>
      <c r="Q11" s="3"/>
      <c r="R11" s="2">
        <v>10</v>
      </c>
      <c r="S11" s="4"/>
      <c r="T11" s="4">
        <v>25</v>
      </c>
      <c r="U11" s="4">
        <v>15</v>
      </c>
      <c r="V11" s="3">
        <v>5</v>
      </c>
      <c r="X11" s="5"/>
      <c r="Y11" s="14"/>
      <c r="Z11" s="14"/>
      <c r="AA11" s="14"/>
      <c r="AB11" s="15"/>
      <c r="AC11" s="5">
        <v>3</v>
      </c>
      <c r="AD11" s="14">
        <v>30</v>
      </c>
      <c r="AE11" s="14"/>
      <c r="AF11" s="14"/>
      <c r="AG11" s="15"/>
      <c r="AI11" s="2" t="s">
        <v>399</v>
      </c>
      <c r="AJ11" s="4">
        <v>5</v>
      </c>
      <c r="AK11" s="22">
        <v>0</v>
      </c>
      <c r="AL11" s="22">
        <v>1</v>
      </c>
      <c r="AM11" s="22">
        <v>0</v>
      </c>
      <c r="AN11" s="22">
        <v>-1</v>
      </c>
      <c r="AO11" s="22">
        <v>0</v>
      </c>
      <c r="AP11" s="22">
        <v>-1</v>
      </c>
      <c r="AQ11" s="22">
        <v>0</v>
      </c>
      <c r="AR11" s="22">
        <v>-1</v>
      </c>
      <c r="AS11" s="22">
        <v>1</v>
      </c>
      <c r="AT11" s="22">
        <v>0</v>
      </c>
      <c r="AU11" s="22">
        <v>0</v>
      </c>
      <c r="AV11" s="22">
        <v>1</v>
      </c>
      <c r="AW11" s="22">
        <v>0</v>
      </c>
      <c r="AX11" s="28">
        <v>0</v>
      </c>
      <c r="AZ11" s="2" t="s">
        <v>478</v>
      </c>
      <c r="BA11" s="22">
        <v>50</v>
      </c>
      <c r="BB11" s="22">
        <v>0</v>
      </c>
      <c r="BC11" s="22">
        <v>5</v>
      </c>
      <c r="BD11" s="22">
        <v>0</v>
      </c>
      <c r="BE11" s="22">
        <v>2</v>
      </c>
      <c r="BF11" s="22">
        <v>0</v>
      </c>
      <c r="BG11" s="22">
        <v>0</v>
      </c>
      <c r="BH11" s="28">
        <v>0</v>
      </c>
    </row>
    <row r="12" spans="1:60" ht="15.75" x14ac:dyDescent="0.25">
      <c r="A12" s="31" t="s">
        <v>160</v>
      </c>
      <c r="B12" s="1" t="s">
        <v>79</v>
      </c>
      <c r="C12" s="4"/>
      <c r="D12" s="4"/>
      <c r="M12" s="2"/>
      <c r="N12" s="4">
        <v>13</v>
      </c>
      <c r="O12" s="4">
        <v>15</v>
      </c>
      <c r="P12" s="4">
        <v>17</v>
      </c>
      <c r="Q12" s="3"/>
      <c r="R12" s="2">
        <v>11</v>
      </c>
      <c r="S12" s="4"/>
      <c r="T12" s="4">
        <v>30</v>
      </c>
      <c r="U12" s="4">
        <v>20</v>
      </c>
      <c r="V12" s="3">
        <v>10</v>
      </c>
      <c r="AI12" s="2" t="s">
        <v>17</v>
      </c>
      <c r="AJ12" s="4">
        <v>95</v>
      </c>
      <c r="AK12" s="22">
        <v>1</v>
      </c>
      <c r="AL12" s="22">
        <v>1</v>
      </c>
      <c r="AM12" s="22">
        <v>1</v>
      </c>
      <c r="AN12" s="22">
        <v>0</v>
      </c>
      <c r="AO12" s="22">
        <v>0</v>
      </c>
      <c r="AP12" s="22">
        <v>0</v>
      </c>
      <c r="AQ12" s="22">
        <v>2</v>
      </c>
      <c r="AR12" s="22">
        <v>0</v>
      </c>
      <c r="AS12" s="22">
        <v>-1</v>
      </c>
      <c r="AT12" s="22">
        <v>-1</v>
      </c>
      <c r="AU12" s="22">
        <v>-1</v>
      </c>
      <c r="AV12" s="22">
        <v>3</v>
      </c>
      <c r="AW12" s="22">
        <v>5</v>
      </c>
      <c r="AX12" s="28">
        <v>0</v>
      </c>
      <c r="AZ12" s="2" t="s">
        <v>479</v>
      </c>
      <c r="BA12" s="22">
        <v>50</v>
      </c>
      <c r="BB12" s="22">
        <v>0</v>
      </c>
      <c r="BC12" s="22">
        <v>5</v>
      </c>
      <c r="BD12" s="22">
        <v>0</v>
      </c>
      <c r="BE12" s="22">
        <v>0</v>
      </c>
      <c r="BF12" s="22">
        <v>0</v>
      </c>
      <c r="BG12" s="22">
        <v>-2</v>
      </c>
      <c r="BH12" s="28">
        <v>0</v>
      </c>
    </row>
    <row r="13" spans="1:60" x14ac:dyDescent="0.25">
      <c r="A13" s="2" t="s">
        <v>50</v>
      </c>
      <c r="B13" s="3">
        <v>0</v>
      </c>
      <c r="C13" s="4"/>
      <c r="D13" s="4"/>
      <c r="M13" s="2"/>
      <c r="N13" s="4">
        <v>14</v>
      </c>
      <c r="O13" s="4">
        <v>16</v>
      </c>
      <c r="P13" s="4">
        <v>18</v>
      </c>
      <c r="Q13" s="3"/>
      <c r="R13" s="2">
        <v>12</v>
      </c>
      <c r="S13" s="4"/>
      <c r="T13" s="4">
        <v>35</v>
      </c>
      <c r="U13" s="4">
        <v>25</v>
      </c>
      <c r="V13" s="3">
        <v>15</v>
      </c>
      <c r="AI13" s="2" t="s">
        <v>28</v>
      </c>
      <c r="AJ13" s="4">
        <v>72</v>
      </c>
      <c r="AK13" s="22">
        <v>1</v>
      </c>
      <c r="AL13" s="22">
        <v>4</v>
      </c>
      <c r="AM13" s="22">
        <v>0</v>
      </c>
      <c r="AN13" s="22">
        <v>1</v>
      </c>
      <c r="AO13" s="22">
        <v>-1</v>
      </c>
      <c r="AP13" s="22">
        <v>-2</v>
      </c>
      <c r="AQ13" s="22">
        <v>3</v>
      </c>
      <c r="AR13" s="22">
        <v>-1</v>
      </c>
      <c r="AS13" s="22">
        <v>-1</v>
      </c>
      <c r="AT13" s="22">
        <v>-1</v>
      </c>
      <c r="AU13" s="22">
        <v>-1</v>
      </c>
      <c r="AV13" s="22">
        <v>1</v>
      </c>
      <c r="AW13" s="22">
        <v>0</v>
      </c>
      <c r="AX13" s="28">
        <v>0</v>
      </c>
      <c r="AZ13" s="2" t="s">
        <v>480</v>
      </c>
      <c r="BA13" s="22">
        <v>50</v>
      </c>
      <c r="BB13" s="22">
        <v>0</v>
      </c>
      <c r="BC13" s="22">
        <v>5</v>
      </c>
      <c r="BD13" s="22">
        <v>0</v>
      </c>
      <c r="BE13" s="22">
        <v>0</v>
      </c>
      <c r="BF13" s="22">
        <v>0</v>
      </c>
      <c r="BG13" s="22">
        <v>-2</v>
      </c>
      <c r="BH13" s="28">
        <v>0</v>
      </c>
    </row>
    <row r="14" spans="1:60" ht="15.75" x14ac:dyDescent="0.25">
      <c r="A14" s="2" t="s">
        <v>161</v>
      </c>
      <c r="B14" s="3">
        <v>10</v>
      </c>
      <c r="C14" s="4"/>
      <c r="D14" s="4"/>
      <c r="M14" s="2"/>
      <c r="N14" s="4">
        <v>15</v>
      </c>
      <c r="O14" s="4">
        <v>17</v>
      </c>
      <c r="P14" s="4">
        <v>19</v>
      </c>
      <c r="Q14" s="3"/>
      <c r="R14" s="2">
        <v>13</v>
      </c>
      <c r="S14" s="4"/>
      <c r="T14" s="4">
        <v>40</v>
      </c>
      <c r="U14" s="4">
        <v>30</v>
      </c>
      <c r="V14" s="3">
        <v>20</v>
      </c>
      <c r="X14" s="31" t="s">
        <v>31</v>
      </c>
      <c r="Y14" s="10"/>
      <c r="Z14" s="10"/>
      <c r="AA14" s="10"/>
      <c r="AB14" s="1"/>
      <c r="AC14" s="31" t="s">
        <v>44</v>
      </c>
      <c r="AD14" s="10"/>
      <c r="AE14" s="10"/>
      <c r="AF14" s="10"/>
      <c r="AG14" s="1"/>
      <c r="AI14" s="2" t="s">
        <v>27</v>
      </c>
      <c r="AJ14" s="4">
        <v>204</v>
      </c>
      <c r="AK14" s="22">
        <v>0</v>
      </c>
      <c r="AL14" s="22">
        <v>5</v>
      </c>
      <c r="AM14" s="22">
        <v>0</v>
      </c>
      <c r="AN14" s="22">
        <v>3</v>
      </c>
      <c r="AO14" s="22">
        <v>0</v>
      </c>
      <c r="AP14" s="22">
        <v>0</v>
      </c>
      <c r="AQ14" s="22">
        <v>4</v>
      </c>
      <c r="AR14" s="22">
        <v>-2</v>
      </c>
      <c r="AS14" s="22">
        <v>-1</v>
      </c>
      <c r="AT14" s="22">
        <v>-1</v>
      </c>
      <c r="AU14" s="22">
        <v>-2</v>
      </c>
      <c r="AV14" s="22">
        <v>12</v>
      </c>
      <c r="AW14" s="22">
        <v>0</v>
      </c>
      <c r="AX14" s="28">
        <v>0</v>
      </c>
      <c r="AZ14" s="2" t="s">
        <v>481</v>
      </c>
      <c r="BA14" s="22">
        <v>50</v>
      </c>
      <c r="BB14" s="22">
        <v>0</v>
      </c>
      <c r="BC14" s="22">
        <v>5</v>
      </c>
      <c r="BD14" s="22">
        <v>0</v>
      </c>
      <c r="BE14" s="22">
        <v>2</v>
      </c>
      <c r="BF14" s="22">
        <v>0</v>
      </c>
      <c r="BG14" s="22">
        <v>0</v>
      </c>
      <c r="BH14" s="28">
        <v>0</v>
      </c>
    </row>
    <row r="15" spans="1:60" x14ac:dyDescent="0.25">
      <c r="A15" s="2" t="s">
        <v>416</v>
      </c>
      <c r="B15" s="3">
        <v>20</v>
      </c>
      <c r="C15" s="4"/>
      <c r="D15" s="4"/>
      <c r="M15" s="2"/>
      <c r="N15" s="4"/>
      <c r="O15" s="4">
        <v>18</v>
      </c>
      <c r="P15" s="4">
        <v>20</v>
      </c>
      <c r="Q15" s="3"/>
      <c r="R15" s="2">
        <v>14</v>
      </c>
      <c r="S15" s="4"/>
      <c r="T15" s="4">
        <v>45</v>
      </c>
      <c r="U15" s="4">
        <v>35</v>
      </c>
      <c r="V15" s="3">
        <v>25</v>
      </c>
      <c r="X15" s="2" t="s">
        <v>36</v>
      </c>
      <c r="Y15" s="4" t="s">
        <v>37</v>
      </c>
      <c r="Z15" s="4" t="s">
        <v>38</v>
      </c>
      <c r="AA15" s="4" t="s">
        <v>39</v>
      </c>
      <c r="AB15" s="3"/>
      <c r="AC15" s="2" t="s">
        <v>31</v>
      </c>
      <c r="AD15" s="4" t="s">
        <v>36</v>
      </c>
      <c r="AE15" s="4" t="s">
        <v>37</v>
      </c>
      <c r="AF15" s="4" t="s">
        <v>38</v>
      </c>
      <c r="AG15" s="3" t="s">
        <v>39</v>
      </c>
      <c r="AI15" s="2" t="s">
        <v>18</v>
      </c>
      <c r="AJ15" s="4">
        <v>460</v>
      </c>
      <c r="AK15" s="22">
        <v>1</v>
      </c>
      <c r="AL15" s="22">
        <v>7</v>
      </c>
      <c r="AM15" s="22">
        <v>0</v>
      </c>
      <c r="AN15" s="22">
        <v>4</v>
      </c>
      <c r="AO15" s="22">
        <v>1</v>
      </c>
      <c r="AP15" s="22">
        <v>0</v>
      </c>
      <c r="AQ15" s="22">
        <v>5</v>
      </c>
      <c r="AR15" s="22">
        <v>-2</v>
      </c>
      <c r="AS15" s="22">
        <v>-1</v>
      </c>
      <c r="AT15" s="22">
        <v>-2</v>
      </c>
      <c r="AU15" s="22">
        <v>-3</v>
      </c>
      <c r="AV15" s="22">
        <v>33</v>
      </c>
      <c r="AW15" s="22">
        <v>0</v>
      </c>
      <c r="AX15" s="28">
        <v>0</v>
      </c>
      <c r="AZ15" s="2" t="s">
        <v>482</v>
      </c>
      <c r="BA15" s="22">
        <v>50</v>
      </c>
      <c r="BB15" s="22">
        <v>5</v>
      </c>
      <c r="BC15" s="22">
        <v>0</v>
      </c>
      <c r="BD15" s="22">
        <v>0</v>
      </c>
      <c r="BE15" s="22">
        <v>0</v>
      </c>
      <c r="BF15" s="22">
        <v>0</v>
      </c>
      <c r="BG15" s="22">
        <v>0</v>
      </c>
      <c r="BH15" s="28">
        <v>-2</v>
      </c>
    </row>
    <row r="16" spans="1:60" x14ac:dyDescent="0.25">
      <c r="A16" s="2" t="s">
        <v>417</v>
      </c>
      <c r="B16" s="3">
        <v>40</v>
      </c>
      <c r="C16" s="4"/>
      <c r="D16" s="4"/>
      <c r="M16" s="2"/>
      <c r="N16" s="4"/>
      <c r="O16" s="4">
        <v>19</v>
      </c>
      <c r="P16" s="4">
        <v>21</v>
      </c>
      <c r="Q16" s="3"/>
      <c r="R16" s="2">
        <v>15</v>
      </c>
      <c r="S16" s="4"/>
      <c r="T16" s="4">
        <v>50</v>
      </c>
      <c r="U16" s="4">
        <v>40</v>
      </c>
      <c r="V16" s="3">
        <v>30</v>
      </c>
      <c r="X16" s="2">
        <v>9</v>
      </c>
      <c r="Y16" s="4">
        <v>10</v>
      </c>
      <c r="Z16" s="4">
        <v>11</v>
      </c>
      <c r="AA16" s="4">
        <v>12</v>
      </c>
      <c r="AB16" s="3"/>
      <c r="AC16" s="2">
        <v>12</v>
      </c>
      <c r="AD16" s="4"/>
      <c r="AE16" s="4"/>
      <c r="AF16" s="4"/>
      <c r="AG16" s="3">
        <v>0</v>
      </c>
      <c r="AI16" s="2" t="s">
        <v>19</v>
      </c>
      <c r="AJ16" s="4">
        <v>1299</v>
      </c>
      <c r="AK16" s="22">
        <v>5</v>
      </c>
      <c r="AL16" s="22">
        <v>10</v>
      </c>
      <c r="AM16" s="22">
        <v>0</v>
      </c>
      <c r="AN16" s="22">
        <v>5</v>
      </c>
      <c r="AO16" s="22">
        <v>0</v>
      </c>
      <c r="AP16" s="22">
        <v>0</v>
      </c>
      <c r="AQ16" s="22">
        <v>8</v>
      </c>
      <c r="AR16" s="22">
        <v>-4</v>
      </c>
      <c r="AS16" s="22">
        <v>-4</v>
      </c>
      <c r="AT16" s="22">
        <v>-3</v>
      </c>
      <c r="AU16" s="22">
        <v>-3</v>
      </c>
      <c r="AV16" s="22">
        <v>65</v>
      </c>
      <c r="AW16" s="22">
        <v>35</v>
      </c>
      <c r="AX16" s="28">
        <v>5</v>
      </c>
      <c r="AZ16" s="2" t="s">
        <v>483</v>
      </c>
      <c r="BA16" s="22">
        <v>50</v>
      </c>
      <c r="BB16" s="22">
        <v>0</v>
      </c>
      <c r="BC16" s="22">
        <v>0</v>
      </c>
      <c r="BD16" s="22">
        <v>1</v>
      </c>
      <c r="BE16" s="22">
        <v>0</v>
      </c>
      <c r="BF16" s="22">
        <v>0</v>
      </c>
      <c r="BG16" s="22">
        <v>0</v>
      </c>
      <c r="BH16" s="28">
        <v>-2</v>
      </c>
    </row>
    <row r="17" spans="1:60" x14ac:dyDescent="0.25">
      <c r="A17" s="2" t="s">
        <v>418</v>
      </c>
      <c r="B17" s="3">
        <v>80</v>
      </c>
      <c r="C17" s="4"/>
      <c r="D17" s="4"/>
      <c r="M17" s="2"/>
      <c r="N17" s="4"/>
      <c r="O17" s="4">
        <v>20</v>
      </c>
      <c r="P17" s="4">
        <v>22</v>
      </c>
      <c r="Q17" s="3"/>
      <c r="R17" s="2">
        <v>16</v>
      </c>
      <c r="S17" s="4"/>
      <c r="T17" s="4"/>
      <c r="U17" s="4">
        <v>45</v>
      </c>
      <c r="V17" s="3">
        <v>35</v>
      </c>
      <c r="X17" s="2">
        <v>8</v>
      </c>
      <c r="Y17" s="4">
        <v>9</v>
      </c>
      <c r="Z17" s="4">
        <v>10</v>
      </c>
      <c r="AA17" s="4">
        <v>11</v>
      </c>
      <c r="AB17" s="3"/>
      <c r="AC17" s="2">
        <v>11</v>
      </c>
      <c r="AD17" s="4"/>
      <c r="AE17" s="4"/>
      <c r="AF17" s="4">
        <v>0</v>
      </c>
      <c r="AG17" s="3">
        <v>3</v>
      </c>
      <c r="AI17" s="2" t="s">
        <v>20</v>
      </c>
      <c r="AJ17" s="4">
        <v>0</v>
      </c>
      <c r="AK17" s="22">
        <v>0</v>
      </c>
      <c r="AL17" s="22">
        <v>0</v>
      </c>
      <c r="AM17" s="22">
        <v>0</v>
      </c>
      <c r="AN17" s="22">
        <v>0</v>
      </c>
      <c r="AO17" s="22">
        <v>0</v>
      </c>
      <c r="AP17" s="22">
        <v>0</v>
      </c>
      <c r="AQ17" s="22">
        <v>0</v>
      </c>
      <c r="AR17" s="22">
        <v>0</v>
      </c>
      <c r="AS17" s="22">
        <v>0</v>
      </c>
      <c r="AT17" s="22">
        <v>0</v>
      </c>
      <c r="AU17" s="22">
        <v>0</v>
      </c>
      <c r="AV17" s="22">
        <v>0</v>
      </c>
      <c r="AW17" s="22">
        <v>0</v>
      </c>
      <c r="AX17" s="28">
        <v>0</v>
      </c>
      <c r="AZ17" s="2" t="s">
        <v>484</v>
      </c>
      <c r="BA17" s="22">
        <v>50</v>
      </c>
      <c r="BB17" s="22">
        <v>0</v>
      </c>
      <c r="BC17" s="22">
        <v>0</v>
      </c>
      <c r="BD17" s="22">
        <v>1</v>
      </c>
      <c r="BE17" s="22">
        <v>1</v>
      </c>
      <c r="BF17" s="22">
        <v>0</v>
      </c>
      <c r="BG17" s="22">
        <v>0</v>
      </c>
      <c r="BH17" s="28">
        <v>0</v>
      </c>
    </row>
    <row r="18" spans="1:60" ht="15.75" x14ac:dyDescent="0.25">
      <c r="A18" s="5" t="s">
        <v>419</v>
      </c>
      <c r="B18" s="15">
        <v>160</v>
      </c>
      <c r="C18" s="4"/>
      <c r="D18" s="4"/>
      <c r="J18" s="31" t="s">
        <v>447</v>
      </c>
      <c r="K18" s="1" t="s">
        <v>79</v>
      </c>
      <c r="M18" s="2"/>
      <c r="N18" s="4"/>
      <c r="O18" s="4">
        <v>21</v>
      </c>
      <c r="P18" s="4">
        <v>23</v>
      </c>
      <c r="Q18" s="3"/>
      <c r="R18" s="2">
        <v>17</v>
      </c>
      <c r="S18" s="4"/>
      <c r="T18" s="4"/>
      <c r="U18" s="4">
        <v>50</v>
      </c>
      <c r="V18" s="3">
        <v>40</v>
      </c>
      <c r="X18" s="2">
        <v>7</v>
      </c>
      <c r="Y18" s="4">
        <v>8</v>
      </c>
      <c r="Z18" s="4">
        <v>9</v>
      </c>
      <c r="AA18" s="4">
        <v>10</v>
      </c>
      <c r="AB18" s="3"/>
      <c r="AC18" s="2">
        <v>10</v>
      </c>
      <c r="AD18" s="4"/>
      <c r="AE18" s="4">
        <v>0</v>
      </c>
      <c r="AF18" s="4">
        <v>3</v>
      </c>
      <c r="AG18" s="3">
        <v>6</v>
      </c>
      <c r="AI18" s="2" t="s">
        <v>22</v>
      </c>
      <c r="AJ18" s="4">
        <v>0</v>
      </c>
      <c r="AK18" s="22">
        <v>0</v>
      </c>
      <c r="AL18" s="22">
        <v>0</v>
      </c>
      <c r="AM18" s="22">
        <v>0</v>
      </c>
      <c r="AN18" s="22">
        <v>0</v>
      </c>
      <c r="AO18" s="22">
        <v>0</v>
      </c>
      <c r="AP18" s="22">
        <v>0</v>
      </c>
      <c r="AQ18" s="22">
        <v>0</v>
      </c>
      <c r="AR18" s="22">
        <v>0</v>
      </c>
      <c r="AS18" s="22">
        <v>0</v>
      </c>
      <c r="AT18" s="22">
        <v>0</v>
      </c>
      <c r="AU18" s="22">
        <v>0</v>
      </c>
      <c r="AV18" s="22">
        <v>0</v>
      </c>
      <c r="AW18" s="22">
        <v>0</v>
      </c>
      <c r="AX18" s="28">
        <v>0</v>
      </c>
      <c r="AZ18" s="2" t="s">
        <v>485</v>
      </c>
      <c r="BA18" s="22">
        <v>50</v>
      </c>
      <c r="BB18" s="22">
        <v>0</v>
      </c>
      <c r="BC18" s="22">
        <v>0</v>
      </c>
      <c r="BD18" s="22">
        <v>0</v>
      </c>
      <c r="BE18" s="22">
        <v>2</v>
      </c>
      <c r="BF18" s="22">
        <v>1</v>
      </c>
      <c r="BG18" s="22">
        <v>0</v>
      </c>
      <c r="BH18" s="28">
        <v>0</v>
      </c>
    </row>
    <row r="19" spans="1:60" x14ac:dyDescent="0.25">
      <c r="J19" s="211" t="s">
        <v>47</v>
      </c>
      <c r="K19" s="3">
        <v>0</v>
      </c>
      <c r="M19" s="2"/>
      <c r="N19" s="4"/>
      <c r="O19" s="4"/>
      <c r="P19" s="4">
        <v>24</v>
      </c>
      <c r="Q19" s="3"/>
      <c r="R19" s="2">
        <v>18</v>
      </c>
      <c r="S19" s="4"/>
      <c r="T19" s="4"/>
      <c r="U19" s="4">
        <v>55</v>
      </c>
      <c r="V19" s="3">
        <v>45</v>
      </c>
      <c r="X19" s="2">
        <v>6</v>
      </c>
      <c r="Y19" s="4">
        <v>7</v>
      </c>
      <c r="Z19" s="4">
        <v>8</v>
      </c>
      <c r="AA19" s="4">
        <v>9</v>
      </c>
      <c r="AB19" s="3"/>
      <c r="AC19" s="2">
        <v>9</v>
      </c>
      <c r="AD19" s="4">
        <v>0</v>
      </c>
      <c r="AE19" s="4">
        <v>3</v>
      </c>
      <c r="AF19" s="4">
        <v>6</v>
      </c>
      <c r="AG19" s="3">
        <v>9</v>
      </c>
      <c r="AI19" s="2" t="s">
        <v>23</v>
      </c>
      <c r="AJ19" s="4">
        <v>20</v>
      </c>
      <c r="AK19" s="22">
        <v>-1</v>
      </c>
      <c r="AL19" s="22">
        <v>0</v>
      </c>
      <c r="AM19" s="22">
        <v>0</v>
      </c>
      <c r="AN19" s="22">
        <v>0</v>
      </c>
      <c r="AO19" s="22">
        <v>0</v>
      </c>
      <c r="AP19" s="22">
        <v>0</v>
      </c>
      <c r="AQ19" s="22">
        <v>0</v>
      </c>
      <c r="AR19" s="22">
        <v>0</v>
      </c>
      <c r="AS19" s="22">
        <v>0</v>
      </c>
      <c r="AT19" s="22">
        <v>0</v>
      </c>
      <c r="AU19" s="22">
        <v>0</v>
      </c>
      <c r="AV19" s="22">
        <v>5</v>
      </c>
      <c r="AW19" s="22">
        <v>0</v>
      </c>
      <c r="AX19" s="28">
        <v>0</v>
      </c>
      <c r="AZ19" s="2"/>
      <c r="BA19" s="4"/>
      <c r="BB19" s="4"/>
      <c r="BC19" s="4"/>
      <c r="BD19" s="4"/>
      <c r="BE19" s="4"/>
      <c r="BF19" s="4"/>
      <c r="BG19" s="4"/>
      <c r="BH19" s="3"/>
    </row>
    <row r="20" spans="1:60" x14ac:dyDescent="0.25">
      <c r="J20" s="210">
        <v>1</v>
      </c>
      <c r="K20" s="3">
        <v>100</v>
      </c>
      <c r="M20" s="2"/>
      <c r="N20" s="4"/>
      <c r="O20" s="4"/>
      <c r="P20" s="4">
        <v>25</v>
      </c>
      <c r="Q20" s="3"/>
      <c r="R20" s="2">
        <v>19</v>
      </c>
      <c r="S20" s="4"/>
      <c r="T20" s="4"/>
      <c r="U20" s="4">
        <v>60</v>
      </c>
      <c r="V20" s="3">
        <v>50</v>
      </c>
      <c r="X20" s="2">
        <v>5</v>
      </c>
      <c r="Y20" s="4">
        <v>6</v>
      </c>
      <c r="Z20" s="4">
        <v>7</v>
      </c>
      <c r="AA20" s="4">
        <v>8</v>
      </c>
      <c r="AB20" s="3"/>
      <c r="AC20" s="2">
        <v>8</v>
      </c>
      <c r="AD20" s="4">
        <v>3</v>
      </c>
      <c r="AE20" s="4">
        <v>6</v>
      </c>
      <c r="AF20" s="4">
        <v>9</v>
      </c>
      <c r="AG20" s="3">
        <v>12</v>
      </c>
      <c r="AI20" s="2" t="s">
        <v>24</v>
      </c>
      <c r="AJ20" s="4">
        <v>0</v>
      </c>
      <c r="AK20" s="22">
        <v>0</v>
      </c>
      <c r="AL20" s="22">
        <v>0</v>
      </c>
      <c r="AM20" s="22">
        <v>0</v>
      </c>
      <c r="AN20" s="22">
        <v>0</v>
      </c>
      <c r="AO20" s="22">
        <v>0</v>
      </c>
      <c r="AP20" s="22">
        <v>0</v>
      </c>
      <c r="AQ20" s="22">
        <v>0</v>
      </c>
      <c r="AR20" s="22">
        <v>0</v>
      </c>
      <c r="AS20" s="22">
        <v>0</v>
      </c>
      <c r="AT20" s="22">
        <v>0</v>
      </c>
      <c r="AU20" s="22">
        <v>0</v>
      </c>
      <c r="AV20" s="22">
        <v>0</v>
      </c>
      <c r="AW20" s="22">
        <v>0</v>
      </c>
      <c r="AX20" s="28">
        <v>0</v>
      </c>
      <c r="AZ20" s="2"/>
      <c r="BA20" s="4"/>
      <c r="BB20" s="4"/>
      <c r="BC20" s="4"/>
      <c r="BD20" s="4"/>
      <c r="BE20" s="4"/>
      <c r="BF20" s="4"/>
      <c r="BG20" s="4"/>
      <c r="BH20" s="3"/>
    </row>
    <row r="21" spans="1:60" x14ac:dyDescent="0.25">
      <c r="J21" s="16">
        <v>2</v>
      </c>
      <c r="K21" s="3">
        <v>200</v>
      </c>
      <c r="M21" s="2"/>
      <c r="N21" s="4"/>
      <c r="O21" s="4"/>
      <c r="P21" s="4">
        <v>26</v>
      </c>
      <c r="Q21" s="3"/>
      <c r="R21" s="2">
        <v>20</v>
      </c>
      <c r="S21" s="4"/>
      <c r="T21" s="4"/>
      <c r="U21" s="4">
        <v>65</v>
      </c>
      <c r="V21" s="3">
        <v>55</v>
      </c>
      <c r="X21" s="2">
        <v>4</v>
      </c>
      <c r="Y21" s="4">
        <v>5</v>
      </c>
      <c r="Z21" s="4">
        <v>6</v>
      </c>
      <c r="AA21" s="4">
        <v>7</v>
      </c>
      <c r="AB21" s="3"/>
      <c r="AC21" s="2">
        <v>7</v>
      </c>
      <c r="AD21" s="4">
        <v>6</v>
      </c>
      <c r="AE21" s="4">
        <v>9</v>
      </c>
      <c r="AF21" s="4">
        <v>12</v>
      </c>
      <c r="AG21" s="3">
        <v>15</v>
      </c>
      <c r="AI21" s="2" t="s">
        <v>25</v>
      </c>
      <c r="AJ21" s="4">
        <v>1500</v>
      </c>
      <c r="AK21" s="22">
        <v>0</v>
      </c>
      <c r="AL21" s="22">
        <v>0</v>
      </c>
      <c r="AM21" s="22">
        <v>-3</v>
      </c>
      <c r="AN21" s="22">
        <v>0</v>
      </c>
      <c r="AO21" s="22">
        <v>0</v>
      </c>
      <c r="AP21" s="22">
        <v>0</v>
      </c>
      <c r="AQ21" s="22">
        <v>0</v>
      </c>
      <c r="AR21" s="22">
        <v>0</v>
      </c>
      <c r="AS21" s="22">
        <v>-3</v>
      </c>
      <c r="AT21" s="22">
        <v>-2</v>
      </c>
      <c r="AU21" s="22">
        <v>-2</v>
      </c>
      <c r="AV21" s="22">
        <v>80</v>
      </c>
      <c r="AW21" s="22">
        <v>20</v>
      </c>
      <c r="AX21" s="28">
        <v>2</v>
      </c>
      <c r="AZ21" s="2"/>
      <c r="BA21" s="4"/>
      <c r="BB21" s="4"/>
      <c r="BC21" s="4"/>
      <c r="BD21" s="4"/>
      <c r="BE21" s="4"/>
      <c r="BF21" s="4"/>
      <c r="BG21" s="4"/>
      <c r="BH21" s="3"/>
    </row>
    <row r="22" spans="1:60" ht="15.75" x14ac:dyDescent="0.25">
      <c r="A22" s="31" t="s">
        <v>173</v>
      </c>
      <c r="B22" s="1" t="s">
        <v>170</v>
      </c>
      <c r="C22" s="4"/>
      <c r="D22" s="4"/>
      <c r="J22" s="16">
        <v>3</v>
      </c>
      <c r="K22" s="3">
        <v>300</v>
      </c>
      <c r="M22" s="2"/>
      <c r="N22" s="4"/>
      <c r="O22" s="4"/>
      <c r="P22" s="4">
        <v>27</v>
      </c>
      <c r="Q22" s="3"/>
      <c r="R22" s="2">
        <v>21</v>
      </c>
      <c r="S22" s="4"/>
      <c r="T22" s="4"/>
      <c r="U22" s="4">
        <v>70</v>
      </c>
      <c r="V22" s="3">
        <v>60</v>
      </c>
      <c r="X22" s="2">
        <v>3</v>
      </c>
      <c r="Y22" s="4">
        <v>4</v>
      </c>
      <c r="Z22" s="4">
        <v>5</v>
      </c>
      <c r="AA22" s="4">
        <v>6</v>
      </c>
      <c r="AB22" s="3"/>
      <c r="AC22" s="2">
        <v>6</v>
      </c>
      <c r="AD22" s="4">
        <v>9</v>
      </c>
      <c r="AE22" s="4">
        <v>12</v>
      </c>
      <c r="AF22" s="4">
        <v>15</v>
      </c>
      <c r="AG22" s="3">
        <v>18</v>
      </c>
      <c r="AI22" s="25" t="s">
        <v>470</v>
      </c>
      <c r="AJ22" s="4">
        <v>90</v>
      </c>
      <c r="AK22" s="22">
        <v>0</v>
      </c>
      <c r="AL22" s="22">
        <v>0</v>
      </c>
      <c r="AM22" s="22">
        <v>0</v>
      </c>
      <c r="AN22" s="22">
        <v>0</v>
      </c>
      <c r="AO22" s="22">
        <v>0</v>
      </c>
      <c r="AP22" s="22">
        <v>0</v>
      </c>
      <c r="AQ22" s="22">
        <v>0</v>
      </c>
      <c r="AR22" s="22">
        <v>0</v>
      </c>
      <c r="AS22" s="22">
        <v>-1</v>
      </c>
      <c r="AT22" s="22">
        <v>0</v>
      </c>
      <c r="AU22" s="22">
        <v>0</v>
      </c>
      <c r="AV22" s="22">
        <v>0</v>
      </c>
      <c r="AW22" s="22">
        <v>0</v>
      </c>
      <c r="AX22" s="28">
        <v>0</v>
      </c>
      <c r="AZ22" s="2"/>
      <c r="BA22" s="4"/>
      <c r="BB22" s="4"/>
      <c r="BC22" s="4"/>
      <c r="BD22" s="4"/>
      <c r="BE22" s="4"/>
      <c r="BF22" s="4"/>
      <c r="BG22" s="4"/>
      <c r="BH22" s="3"/>
    </row>
    <row r="23" spans="1:60" x14ac:dyDescent="0.25">
      <c r="A23" s="2" t="s">
        <v>50</v>
      </c>
      <c r="B23" s="3">
        <v>0</v>
      </c>
      <c r="C23" s="4"/>
      <c r="D23" s="4"/>
      <c r="J23" s="17">
        <v>4</v>
      </c>
      <c r="K23" s="15">
        <v>400</v>
      </c>
      <c r="M23" s="2"/>
      <c r="N23" s="4"/>
      <c r="O23" s="4"/>
      <c r="P23" s="4"/>
      <c r="Q23" s="3"/>
      <c r="R23" s="2">
        <v>22</v>
      </c>
      <c r="S23" s="4"/>
      <c r="T23" s="4"/>
      <c r="U23" s="4"/>
      <c r="V23" s="3">
        <v>65</v>
      </c>
      <c r="X23" s="2"/>
      <c r="Y23" s="4"/>
      <c r="Z23" s="4"/>
      <c r="AA23" s="4"/>
      <c r="AB23" s="3"/>
      <c r="AC23" s="2">
        <v>5</v>
      </c>
      <c r="AD23" s="4">
        <v>12</v>
      </c>
      <c r="AE23" s="4">
        <v>15</v>
      </c>
      <c r="AF23" s="4">
        <v>18</v>
      </c>
      <c r="AG23" s="3"/>
      <c r="AI23" s="2" t="s">
        <v>21</v>
      </c>
      <c r="AJ23" s="4">
        <v>-10</v>
      </c>
      <c r="AK23" s="22">
        <v>-1</v>
      </c>
      <c r="AL23" s="22">
        <v>0</v>
      </c>
      <c r="AM23" s="22">
        <v>0</v>
      </c>
      <c r="AN23" s="22">
        <v>4</v>
      </c>
      <c r="AO23" s="22">
        <v>0</v>
      </c>
      <c r="AP23" s="22">
        <v>0</v>
      </c>
      <c r="AQ23" s="22">
        <v>0</v>
      </c>
      <c r="AR23" s="22">
        <v>0</v>
      </c>
      <c r="AS23" s="22">
        <v>0</v>
      </c>
      <c r="AT23" s="22">
        <v>0</v>
      </c>
      <c r="AU23" s="22">
        <v>0</v>
      </c>
      <c r="AV23" s="22">
        <v>0</v>
      </c>
      <c r="AW23" s="22">
        <v>0</v>
      </c>
      <c r="AX23" s="28">
        <v>0</v>
      </c>
      <c r="AZ23" s="2"/>
      <c r="BA23" s="4"/>
      <c r="BB23" s="4"/>
      <c r="BC23" s="4"/>
      <c r="BD23" s="4"/>
      <c r="BE23" s="4"/>
      <c r="BF23" s="4"/>
      <c r="BG23" s="4"/>
      <c r="BH23" s="3"/>
    </row>
    <row r="24" spans="1:60" x14ac:dyDescent="0.25">
      <c r="A24" s="16">
        <v>1</v>
      </c>
      <c r="B24" s="3">
        <v>10</v>
      </c>
      <c r="C24" s="4"/>
      <c r="D24" s="4"/>
      <c r="M24" s="2"/>
      <c r="N24" s="4"/>
      <c r="O24" s="4"/>
      <c r="P24" s="4"/>
      <c r="Q24" s="3"/>
      <c r="R24" s="2">
        <v>23</v>
      </c>
      <c r="S24" s="4"/>
      <c r="T24" s="4"/>
      <c r="U24" s="4"/>
      <c r="V24" s="3">
        <v>70</v>
      </c>
      <c r="X24" s="2"/>
      <c r="Y24" s="4"/>
      <c r="Z24" s="4"/>
      <c r="AA24" s="4"/>
      <c r="AB24" s="3"/>
      <c r="AC24" s="2">
        <v>4</v>
      </c>
      <c r="AD24" s="4">
        <v>15</v>
      </c>
      <c r="AE24" s="4">
        <v>18</v>
      </c>
      <c r="AF24" s="57"/>
      <c r="AG24" s="3"/>
      <c r="AI24" s="2" t="s">
        <v>26</v>
      </c>
      <c r="AJ24" s="4">
        <v>213</v>
      </c>
      <c r="AK24" s="22">
        <v>0</v>
      </c>
      <c r="AL24" s="22">
        <v>3</v>
      </c>
      <c r="AM24" s="22">
        <v>0</v>
      </c>
      <c r="AN24" s="22">
        <v>2</v>
      </c>
      <c r="AO24" s="22">
        <v>0</v>
      </c>
      <c r="AP24" s="22">
        <v>3</v>
      </c>
      <c r="AQ24" s="22">
        <v>0</v>
      </c>
      <c r="AR24" s="22">
        <v>-1</v>
      </c>
      <c r="AS24" s="22">
        <v>0</v>
      </c>
      <c r="AT24" s="22">
        <v>0</v>
      </c>
      <c r="AU24" s="22">
        <v>-4</v>
      </c>
      <c r="AV24" s="22">
        <v>11</v>
      </c>
      <c r="AW24" s="22">
        <v>0</v>
      </c>
      <c r="AX24" s="28">
        <v>0</v>
      </c>
      <c r="AZ24" s="2"/>
      <c r="BA24" s="4"/>
      <c r="BB24" s="4"/>
      <c r="BC24" s="4"/>
      <c r="BD24" s="4"/>
      <c r="BE24" s="4"/>
      <c r="BF24" s="4"/>
      <c r="BG24" s="4"/>
      <c r="BH24" s="3"/>
    </row>
    <row r="25" spans="1:60" x14ac:dyDescent="0.25">
      <c r="A25" s="16">
        <v>2</v>
      </c>
      <c r="B25" s="3">
        <v>20</v>
      </c>
      <c r="C25" s="4"/>
      <c r="D25" s="4"/>
      <c r="M25" s="2"/>
      <c r="N25" s="4"/>
      <c r="O25" s="4"/>
      <c r="P25" s="4"/>
      <c r="Q25" s="3"/>
      <c r="R25" s="2">
        <v>24</v>
      </c>
      <c r="S25" s="4"/>
      <c r="T25" s="4"/>
      <c r="U25" s="4"/>
      <c r="V25" s="3">
        <v>75</v>
      </c>
      <c r="X25" s="5"/>
      <c r="Y25" s="14"/>
      <c r="Z25" s="14"/>
      <c r="AA25" s="14"/>
      <c r="AB25" s="15"/>
      <c r="AC25" s="5">
        <v>3</v>
      </c>
      <c r="AD25" s="14">
        <v>18</v>
      </c>
      <c r="AE25" s="14"/>
      <c r="AF25" s="14"/>
      <c r="AG25" s="15"/>
      <c r="AI25" s="26" t="s">
        <v>73</v>
      </c>
      <c r="AJ25" s="14">
        <v>30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30">
        <v>0</v>
      </c>
      <c r="AZ25" s="2"/>
      <c r="BA25" s="4"/>
      <c r="BB25" s="4"/>
      <c r="BC25" s="4"/>
      <c r="BD25" s="4"/>
      <c r="BE25" s="4"/>
      <c r="BF25" s="4"/>
      <c r="BG25" s="4"/>
      <c r="BH25" s="3"/>
    </row>
    <row r="26" spans="1:60" x14ac:dyDescent="0.25">
      <c r="A26" s="16">
        <v>3</v>
      </c>
      <c r="B26" s="3">
        <v>30</v>
      </c>
      <c r="C26" s="4"/>
      <c r="D26" s="4"/>
      <c r="J26" s="152" t="s">
        <v>345</v>
      </c>
      <c r="M26" s="2"/>
      <c r="N26" s="4"/>
      <c r="O26" s="4"/>
      <c r="P26" s="4"/>
      <c r="Q26" s="3"/>
      <c r="R26" s="2">
        <v>25</v>
      </c>
      <c r="S26" s="4"/>
      <c r="T26" s="4"/>
      <c r="U26" s="4"/>
      <c r="V26" s="3">
        <v>80</v>
      </c>
      <c r="AZ26" s="5"/>
      <c r="BA26" s="14"/>
      <c r="BB26" s="14"/>
      <c r="BC26" s="14"/>
      <c r="BD26" s="14"/>
      <c r="BE26" s="14"/>
      <c r="BF26" s="14"/>
      <c r="BG26" s="14"/>
      <c r="BH26" s="15"/>
    </row>
    <row r="27" spans="1:60" x14ac:dyDescent="0.25">
      <c r="A27" s="39">
        <v>4</v>
      </c>
      <c r="B27" s="3">
        <v>50</v>
      </c>
      <c r="C27" s="4"/>
      <c r="D27" s="4"/>
      <c r="J27" s="153" t="s">
        <v>346</v>
      </c>
      <c r="M27" s="2"/>
      <c r="N27" s="4"/>
      <c r="O27" s="4"/>
      <c r="P27" s="4"/>
      <c r="Q27" s="3"/>
      <c r="R27" s="2">
        <v>26</v>
      </c>
      <c r="S27" s="4"/>
      <c r="T27" s="4"/>
      <c r="U27" s="4"/>
      <c r="V27" s="3">
        <v>95</v>
      </c>
    </row>
    <row r="28" spans="1:60" ht="15.75" x14ac:dyDescent="0.25">
      <c r="A28" s="39">
        <v>5</v>
      </c>
      <c r="B28" s="3">
        <v>70</v>
      </c>
      <c r="C28" s="4"/>
      <c r="D28" s="4"/>
      <c r="J28" s="154" t="s">
        <v>347</v>
      </c>
      <c r="M28" s="5"/>
      <c r="N28" s="14"/>
      <c r="O28" s="14"/>
      <c r="P28" s="14"/>
      <c r="Q28" s="15"/>
      <c r="R28" s="5">
        <v>27</v>
      </c>
      <c r="S28" s="14"/>
      <c r="T28" s="14"/>
      <c r="U28" s="14"/>
      <c r="V28" s="15">
        <v>100</v>
      </c>
      <c r="X28" s="31" t="s">
        <v>45</v>
      </c>
      <c r="Y28" s="10"/>
      <c r="Z28" s="10"/>
      <c r="AA28" s="10"/>
      <c r="AB28" s="1"/>
      <c r="AC28" s="31" t="s">
        <v>46</v>
      </c>
      <c r="AD28" s="10"/>
      <c r="AE28" s="10"/>
      <c r="AF28" s="10"/>
      <c r="AG28" s="1"/>
    </row>
    <row r="29" spans="1:60" x14ac:dyDescent="0.25">
      <c r="A29" s="39">
        <v>6</v>
      </c>
      <c r="B29" s="3">
        <v>90</v>
      </c>
      <c r="C29" s="4"/>
      <c r="D29" s="4"/>
      <c r="X29" s="2" t="s">
        <v>36</v>
      </c>
      <c r="Y29" s="4" t="s">
        <v>37</v>
      </c>
      <c r="Z29" s="4" t="s">
        <v>38</v>
      </c>
      <c r="AA29" s="4" t="s">
        <v>39</v>
      </c>
      <c r="AB29" s="3"/>
      <c r="AC29" s="2" t="s">
        <v>45</v>
      </c>
      <c r="AD29" s="4" t="s">
        <v>36</v>
      </c>
      <c r="AE29" s="4" t="s">
        <v>37</v>
      </c>
      <c r="AF29" s="4" t="s">
        <v>38</v>
      </c>
      <c r="AG29" s="3" t="s">
        <v>39</v>
      </c>
    </row>
    <row r="30" spans="1:60" ht="15.75" x14ac:dyDescent="0.25">
      <c r="A30" s="39">
        <v>7</v>
      </c>
      <c r="B30" s="3">
        <v>110</v>
      </c>
      <c r="C30" s="4"/>
      <c r="D30" s="4"/>
      <c r="X30" s="2">
        <v>-1</v>
      </c>
      <c r="Y30" s="20" t="s">
        <v>47</v>
      </c>
      <c r="Z30" s="4">
        <v>-2</v>
      </c>
      <c r="AA30" s="4">
        <v>-4</v>
      </c>
      <c r="AB30" s="3"/>
      <c r="AC30" s="2">
        <v>-4</v>
      </c>
      <c r="AD30" s="4"/>
      <c r="AE30" s="4"/>
      <c r="AF30" s="4"/>
      <c r="AG30" s="3">
        <v>0</v>
      </c>
      <c r="AI30" s="31" t="s">
        <v>166</v>
      </c>
      <c r="AJ30" s="10"/>
      <c r="AK30" s="10"/>
      <c r="AL30" s="10"/>
      <c r="AM30" s="10"/>
      <c r="AN30" s="1"/>
    </row>
    <row r="31" spans="1:60" ht="15.75" x14ac:dyDescent="0.25">
      <c r="A31" s="39">
        <v>8</v>
      </c>
      <c r="B31" s="3">
        <v>140</v>
      </c>
      <c r="C31" s="4"/>
      <c r="D31" s="4"/>
      <c r="J31" s="31" t="s">
        <v>2</v>
      </c>
      <c r="K31" s="1" t="s">
        <v>79</v>
      </c>
      <c r="X31" s="21" t="s">
        <v>47</v>
      </c>
      <c r="Y31" s="22">
        <v>1</v>
      </c>
      <c r="Z31" s="4">
        <v>-1</v>
      </c>
      <c r="AA31" s="4">
        <v>-3</v>
      </c>
      <c r="AB31" s="3"/>
      <c r="AC31" s="2">
        <v>-3</v>
      </c>
      <c r="AD31" s="4"/>
      <c r="AE31" s="4"/>
      <c r="AF31" s="4"/>
      <c r="AG31" s="3">
        <v>5</v>
      </c>
      <c r="AI31" s="2" t="s">
        <v>167</v>
      </c>
      <c r="AJ31" s="4" t="s">
        <v>161</v>
      </c>
      <c r="AK31" s="4" t="s">
        <v>162</v>
      </c>
      <c r="AL31" s="4" t="s">
        <v>163</v>
      </c>
      <c r="AM31" s="4" t="s">
        <v>164</v>
      </c>
      <c r="AN31" s="3" t="s">
        <v>165</v>
      </c>
    </row>
    <row r="32" spans="1:60" ht="15.75" x14ac:dyDescent="0.25">
      <c r="A32" s="39">
        <v>9</v>
      </c>
      <c r="B32" s="3">
        <v>170</v>
      </c>
      <c r="C32" s="4"/>
      <c r="D32" s="4"/>
      <c r="J32" s="2">
        <v>0</v>
      </c>
      <c r="K32" s="3">
        <v>0</v>
      </c>
      <c r="M32" s="31" t="s">
        <v>0</v>
      </c>
      <c r="N32" s="10"/>
      <c r="O32" s="10"/>
      <c r="P32" s="10"/>
      <c r="Q32" s="1"/>
      <c r="R32" s="31" t="s">
        <v>41</v>
      </c>
      <c r="S32" s="10"/>
      <c r="T32" s="10"/>
      <c r="U32" s="10"/>
      <c r="V32" s="1"/>
      <c r="X32" s="16">
        <v>1</v>
      </c>
      <c r="Y32" s="22">
        <v>2</v>
      </c>
      <c r="Z32" s="20" t="s">
        <v>47</v>
      </c>
      <c r="AA32" s="4">
        <v>-2</v>
      </c>
      <c r="AB32" s="3"/>
      <c r="AC32" s="2">
        <v>-2</v>
      </c>
      <c r="AD32" s="4"/>
      <c r="AE32" s="4"/>
      <c r="AF32" s="4">
        <v>0</v>
      </c>
      <c r="AG32" s="3">
        <v>10</v>
      </c>
      <c r="AI32" s="2">
        <v>0</v>
      </c>
      <c r="AJ32" s="4">
        <v>0</v>
      </c>
      <c r="AK32" s="4">
        <v>0</v>
      </c>
      <c r="AL32" s="4">
        <v>0</v>
      </c>
      <c r="AM32" s="4">
        <v>0</v>
      </c>
      <c r="AN32" s="3">
        <v>0</v>
      </c>
    </row>
    <row r="33" spans="1:48" x14ac:dyDescent="0.25">
      <c r="A33" s="40">
        <v>10</v>
      </c>
      <c r="B33" s="15">
        <v>200</v>
      </c>
      <c r="C33" s="4"/>
      <c r="D33" s="4"/>
      <c r="J33" s="16">
        <v>1</v>
      </c>
      <c r="K33" s="3">
        <v>5</v>
      </c>
      <c r="M33" s="2" t="s">
        <v>36</v>
      </c>
      <c r="N33" s="4" t="s">
        <v>37</v>
      </c>
      <c r="O33" s="4" t="s">
        <v>38</v>
      </c>
      <c r="P33" s="4" t="s">
        <v>39</v>
      </c>
      <c r="Q33" s="3"/>
      <c r="R33" s="2" t="s">
        <v>0</v>
      </c>
      <c r="S33" s="4" t="s">
        <v>36</v>
      </c>
      <c r="T33" s="4" t="s">
        <v>37</v>
      </c>
      <c r="U33" s="4" t="s">
        <v>38</v>
      </c>
      <c r="V33" s="3" t="s">
        <v>39</v>
      </c>
      <c r="X33" s="16">
        <v>2</v>
      </c>
      <c r="Y33" s="22">
        <v>3</v>
      </c>
      <c r="Z33" s="22">
        <v>1</v>
      </c>
      <c r="AA33" s="4">
        <v>-1</v>
      </c>
      <c r="AB33" s="3"/>
      <c r="AC33" s="2">
        <v>-1</v>
      </c>
      <c r="AD33" s="20">
        <v>0</v>
      </c>
      <c r="AE33" s="4"/>
      <c r="AF33" s="4">
        <v>5</v>
      </c>
      <c r="AG33" s="3">
        <v>15</v>
      </c>
      <c r="AI33" s="2">
        <v>1</v>
      </c>
      <c r="AJ33" s="4">
        <v>5</v>
      </c>
      <c r="AK33" s="4">
        <v>10</v>
      </c>
      <c r="AL33" s="4">
        <v>20</v>
      </c>
      <c r="AM33" s="4">
        <v>40</v>
      </c>
      <c r="AN33" s="3">
        <v>80</v>
      </c>
    </row>
    <row r="34" spans="1:48" x14ac:dyDescent="0.25">
      <c r="J34" s="16">
        <v>2</v>
      </c>
      <c r="K34" s="3">
        <v>10</v>
      </c>
      <c r="M34" s="2">
        <v>9</v>
      </c>
      <c r="N34" s="4">
        <v>7</v>
      </c>
      <c r="O34" s="4">
        <v>5</v>
      </c>
      <c r="P34" s="4">
        <v>3</v>
      </c>
      <c r="Q34" s="3"/>
      <c r="R34" s="2">
        <v>3</v>
      </c>
      <c r="S34" s="4"/>
      <c r="T34" s="4"/>
      <c r="U34" s="4"/>
      <c r="V34" s="3">
        <v>0</v>
      </c>
      <c r="X34" s="16">
        <v>3</v>
      </c>
      <c r="Y34" s="22">
        <v>4</v>
      </c>
      <c r="Z34" s="22">
        <v>2</v>
      </c>
      <c r="AA34" s="20" t="s">
        <v>47</v>
      </c>
      <c r="AB34" s="3"/>
      <c r="AC34" s="21" t="s">
        <v>47</v>
      </c>
      <c r="AD34" s="4">
        <v>5</v>
      </c>
      <c r="AE34" s="20">
        <v>0</v>
      </c>
      <c r="AF34" s="4">
        <v>10</v>
      </c>
      <c r="AG34" s="3">
        <v>20</v>
      </c>
      <c r="AI34" s="2">
        <v>2</v>
      </c>
      <c r="AJ34" s="4">
        <v>10</v>
      </c>
      <c r="AK34" s="4">
        <v>20</v>
      </c>
      <c r="AL34" s="4">
        <v>40</v>
      </c>
      <c r="AM34" s="4">
        <v>80</v>
      </c>
      <c r="AN34" s="3">
        <v>160</v>
      </c>
    </row>
    <row r="35" spans="1:48" x14ac:dyDescent="0.25">
      <c r="J35" s="16">
        <v>3</v>
      </c>
      <c r="K35" s="3">
        <v>15</v>
      </c>
      <c r="M35" s="2">
        <v>10</v>
      </c>
      <c r="N35" s="4">
        <v>8</v>
      </c>
      <c r="O35" s="4">
        <v>6</v>
      </c>
      <c r="P35" s="4">
        <v>4</v>
      </c>
      <c r="Q35" s="3"/>
      <c r="R35" s="2">
        <v>4</v>
      </c>
      <c r="S35" s="4"/>
      <c r="T35" s="4"/>
      <c r="U35" s="4"/>
      <c r="V35" s="3">
        <v>10</v>
      </c>
      <c r="X35" s="16">
        <v>4</v>
      </c>
      <c r="Y35" s="22">
        <v>5</v>
      </c>
      <c r="Z35" s="22">
        <v>3</v>
      </c>
      <c r="AA35" s="22">
        <v>1</v>
      </c>
      <c r="AB35" s="3"/>
      <c r="AC35" s="16">
        <v>1</v>
      </c>
      <c r="AD35" s="4">
        <v>10</v>
      </c>
      <c r="AE35" s="4">
        <v>5</v>
      </c>
      <c r="AF35" s="4">
        <v>15</v>
      </c>
      <c r="AG35" s="3">
        <v>25</v>
      </c>
      <c r="AI35" s="2">
        <v>3</v>
      </c>
      <c r="AJ35" s="4">
        <v>15</v>
      </c>
      <c r="AK35" s="4">
        <v>30</v>
      </c>
      <c r="AL35" s="4">
        <v>60</v>
      </c>
      <c r="AM35" s="4">
        <v>120</v>
      </c>
      <c r="AN35" s="3">
        <v>240</v>
      </c>
    </row>
    <row r="36" spans="1:48" x14ac:dyDescent="0.25">
      <c r="J36" s="16">
        <v>4</v>
      </c>
      <c r="K36" s="3">
        <v>20</v>
      </c>
      <c r="M36" s="2">
        <v>11</v>
      </c>
      <c r="N36" s="4">
        <v>9</v>
      </c>
      <c r="O36" s="4">
        <v>7</v>
      </c>
      <c r="P36" s="4">
        <v>5</v>
      </c>
      <c r="Q36" s="3"/>
      <c r="R36" s="2">
        <v>5</v>
      </c>
      <c r="S36" s="4"/>
      <c r="T36" s="4"/>
      <c r="U36" s="4">
        <v>0</v>
      </c>
      <c r="V36" s="3">
        <v>20</v>
      </c>
      <c r="X36" s="16">
        <v>5</v>
      </c>
      <c r="Y36" s="22">
        <v>6</v>
      </c>
      <c r="Z36" s="22">
        <v>4</v>
      </c>
      <c r="AA36" s="22">
        <v>2</v>
      </c>
      <c r="AB36" s="3"/>
      <c r="AC36" s="16">
        <v>2</v>
      </c>
      <c r="AD36" s="4">
        <v>15</v>
      </c>
      <c r="AE36" s="4">
        <v>10</v>
      </c>
      <c r="AF36" s="4">
        <v>20</v>
      </c>
      <c r="AG36" s="3">
        <v>30</v>
      </c>
      <c r="AI36" s="2">
        <v>4</v>
      </c>
      <c r="AJ36" s="4">
        <v>20</v>
      </c>
      <c r="AK36" s="4">
        <v>40</v>
      </c>
      <c r="AL36" s="4">
        <v>80</v>
      </c>
      <c r="AM36" s="4">
        <v>160</v>
      </c>
      <c r="AN36" s="3">
        <v>320</v>
      </c>
    </row>
    <row r="37" spans="1:48" x14ac:dyDescent="0.25">
      <c r="J37" s="17">
        <v>5</v>
      </c>
      <c r="K37" s="15">
        <v>25</v>
      </c>
      <c r="M37" s="2">
        <v>12</v>
      </c>
      <c r="N37" s="4">
        <v>10</v>
      </c>
      <c r="O37" s="4">
        <v>8</v>
      </c>
      <c r="P37" s="4">
        <v>6</v>
      </c>
      <c r="Q37" s="3"/>
      <c r="R37" s="2">
        <v>6</v>
      </c>
      <c r="S37" s="4"/>
      <c r="T37" s="4"/>
      <c r="U37" s="4">
        <v>10</v>
      </c>
      <c r="V37" s="3">
        <v>30</v>
      </c>
      <c r="X37" s="16">
        <v>6</v>
      </c>
      <c r="Y37" s="22">
        <v>7</v>
      </c>
      <c r="Z37" s="22">
        <v>5</v>
      </c>
      <c r="AA37" s="22">
        <v>3</v>
      </c>
      <c r="AB37" s="3"/>
      <c r="AC37" s="16">
        <v>3</v>
      </c>
      <c r="AD37" s="4">
        <v>20</v>
      </c>
      <c r="AE37" s="4">
        <v>15</v>
      </c>
      <c r="AF37" s="4">
        <v>25</v>
      </c>
      <c r="AG37" s="3">
        <v>35</v>
      </c>
      <c r="AI37" s="5">
        <v>5</v>
      </c>
      <c r="AJ37" s="14">
        <v>25</v>
      </c>
      <c r="AK37" s="14">
        <v>50</v>
      </c>
      <c r="AL37" s="14">
        <v>100</v>
      </c>
      <c r="AM37" s="14">
        <v>200</v>
      </c>
      <c r="AN37" s="15">
        <v>400</v>
      </c>
    </row>
    <row r="38" spans="1:48" x14ac:dyDescent="0.25">
      <c r="M38" s="2">
        <v>13</v>
      </c>
      <c r="N38" s="4">
        <v>11</v>
      </c>
      <c r="O38" s="4">
        <v>9</v>
      </c>
      <c r="P38" s="4">
        <v>7</v>
      </c>
      <c r="Q38" s="3"/>
      <c r="R38" s="2">
        <v>7</v>
      </c>
      <c r="S38" s="4"/>
      <c r="T38" s="4">
        <v>0</v>
      </c>
      <c r="U38" s="4">
        <v>20</v>
      </c>
      <c r="V38" s="3">
        <v>40</v>
      </c>
      <c r="X38" s="16">
        <v>7</v>
      </c>
      <c r="Y38" s="22">
        <v>8</v>
      </c>
      <c r="Z38" s="22">
        <v>6</v>
      </c>
      <c r="AA38" s="22">
        <v>4</v>
      </c>
      <c r="AB38" s="3"/>
      <c r="AC38" s="16">
        <v>4</v>
      </c>
      <c r="AD38" s="4">
        <v>25</v>
      </c>
      <c r="AE38" s="4">
        <v>20</v>
      </c>
      <c r="AF38" s="4">
        <v>30</v>
      </c>
      <c r="AG38" s="3">
        <v>40</v>
      </c>
    </row>
    <row r="39" spans="1:48" ht="15.75" x14ac:dyDescent="0.25">
      <c r="M39" s="2">
        <v>14</v>
      </c>
      <c r="N39" s="4">
        <v>12</v>
      </c>
      <c r="O39" s="4">
        <v>10</v>
      </c>
      <c r="P39" s="4">
        <v>8</v>
      </c>
      <c r="Q39" s="3"/>
      <c r="R39" s="2">
        <v>8</v>
      </c>
      <c r="S39" s="4"/>
      <c r="T39" s="4">
        <v>10</v>
      </c>
      <c r="U39" s="4">
        <v>30</v>
      </c>
      <c r="V39" s="3">
        <v>50</v>
      </c>
      <c r="X39" s="16">
        <v>8</v>
      </c>
      <c r="Y39" s="22">
        <v>9</v>
      </c>
      <c r="Z39" s="22">
        <v>7</v>
      </c>
      <c r="AA39" s="22">
        <v>5</v>
      </c>
      <c r="AB39" s="3"/>
      <c r="AC39" s="16">
        <v>5</v>
      </c>
      <c r="AD39" s="4">
        <v>30</v>
      </c>
      <c r="AE39" s="4">
        <v>25</v>
      </c>
      <c r="AF39" s="4">
        <v>35</v>
      </c>
      <c r="AG39" s="3">
        <v>45</v>
      </c>
      <c r="AI39" s="31" t="s">
        <v>169</v>
      </c>
      <c r="AJ39" s="10"/>
      <c r="AK39" s="10"/>
      <c r="AL39" s="10"/>
      <c r="AM39" s="10"/>
      <c r="AN39" s="1"/>
      <c r="AO39" s="31" t="s">
        <v>171</v>
      </c>
      <c r="AP39" s="10"/>
      <c r="AQ39" s="10"/>
      <c r="AR39" s="10"/>
      <c r="AS39" s="10"/>
      <c r="AT39" s="10"/>
      <c r="AU39" s="1"/>
      <c r="AV39" s="41" t="s">
        <v>443</v>
      </c>
    </row>
    <row r="40" spans="1:48" ht="15.75" x14ac:dyDescent="0.25">
      <c r="J40" s="31" t="s">
        <v>3</v>
      </c>
      <c r="K40" s="1" t="s">
        <v>79</v>
      </c>
      <c r="M40" s="2">
        <v>15</v>
      </c>
      <c r="N40" s="4">
        <v>13</v>
      </c>
      <c r="O40" s="4">
        <v>11</v>
      </c>
      <c r="P40" s="4">
        <v>9</v>
      </c>
      <c r="Q40" s="3"/>
      <c r="R40" s="2">
        <v>9</v>
      </c>
      <c r="S40" s="4">
        <v>0</v>
      </c>
      <c r="T40" s="4">
        <v>20</v>
      </c>
      <c r="U40" s="4">
        <v>40</v>
      </c>
      <c r="V40" s="3">
        <v>60</v>
      </c>
      <c r="X40" s="16">
        <v>9</v>
      </c>
      <c r="Y40" s="22">
        <v>10</v>
      </c>
      <c r="Z40" s="22">
        <v>8</v>
      </c>
      <c r="AA40" s="22">
        <v>6</v>
      </c>
      <c r="AB40" s="3"/>
      <c r="AC40" s="16">
        <v>6</v>
      </c>
      <c r="AD40" s="4">
        <v>35</v>
      </c>
      <c r="AE40" s="4">
        <v>30</v>
      </c>
      <c r="AF40" s="4">
        <v>40</v>
      </c>
      <c r="AG40" s="3">
        <v>50</v>
      </c>
      <c r="AI40" s="2" t="s">
        <v>50</v>
      </c>
      <c r="AJ40" s="4" t="s">
        <v>161</v>
      </c>
      <c r="AK40" s="4" t="s">
        <v>416</v>
      </c>
      <c r="AL40" s="4" t="s">
        <v>417</v>
      </c>
      <c r="AM40" s="4" t="s">
        <v>418</v>
      </c>
      <c r="AN40" s="3" t="s">
        <v>419</v>
      </c>
      <c r="AO40" s="2" t="s">
        <v>172</v>
      </c>
      <c r="AP40" s="4" t="s">
        <v>50</v>
      </c>
      <c r="AQ40" s="4" t="s">
        <v>161</v>
      </c>
      <c r="AR40" s="4" t="s">
        <v>416</v>
      </c>
      <c r="AS40" s="4" t="s">
        <v>417</v>
      </c>
      <c r="AT40" s="4" t="s">
        <v>418</v>
      </c>
      <c r="AU40" s="3" t="s">
        <v>419</v>
      </c>
      <c r="AV40" s="220"/>
    </row>
    <row r="41" spans="1:48" x14ac:dyDescent="0.25">
      <c r="J41" s="2">
        <v>0</v>
      </c>
      <c r="K41" s="3">
        <v>0</v>
      </c>
      <c r="M41" s="2"/>
      <c r="N41" s="57">
        <v>14</v>
      </c>
      <c r="O41" s="57">
        <v>12</v>
      </c>
      <c r="P41" s="57">
        <v>10</v>
      </c>
      <c r="Q41" s="3"/>
      <c r="R41" s="2">
        <v>10</v>
      </c>
      <c r="S41" s="4">
        <v>10</v>
      </c>
      <c r="T41" s="4">
        <v>30</v>
      </c>
      <c r="U41" s="4">
        <v>50</v>
      </c>
      <c r="V41" s="3">
        <v>70</v>
      </c>
      <c r="X41" s="16">
        <v>10</v>
      </c>
      <c r="Y41" s="4"/>
      <c r="Z41" s="4"/>
      <c r="AA41" s="4"/>
      <c r="AB41" s="3"/>
      <c r="AC41" s="16">
        <v>7</v>
      </c>
      <c r="AD41" s="4">
        <v>40</v>
      </c>
      <c r="AE41" s="4">
        <v>35</v>
      </c>
      <c r="AF41" s="4">
        <v>45</v>
      </c>
      <c r="AG41" s="3"/>
      <c r="AI41" s="2">
        <v>0</v>
      </c>
      <c r="AJ41" s="4">
        <v>0</v>
      </c>
      <c r="AK41" s="4">
        <v>0</v>
      </c>
      <c r="AL41" s="4">
        <v>0</v>
      </c>
      <c r="AM41" s="4">
        <v>0</v>
      </c>
      <c r="AN41" s="3">
        <v>0</v>
      </c>
      <c r="AO41" s="2">
        <v>0</v>
      </c>
      <c r="AP41" s="4">
        <v>0</v>
      </c>
      <c r="AQ41" s="4">
        <v>0</v>
      </c>
      <c r="AR41" s="4">
        <v>0</v>
      </c>
      <c r="AS41" s="4">
        <v>0</v>
      </c>
      <c r="AT41" s="4">
        <v>0</v>
      </c>
      <c r="AU41" s="3">
        <v>0</v>
      </c>
      <c r="AV41" s="221">
        <v>0</v>
      </c>
    </row>
    <row r="42" spans="1:48" x14ac:dyDescent="0.25">
      <c r="J42" s="2">
        <v>-1</v>
      </c>
      <c r="K42" s="3">
        <v>7</v>
      </c>
      <c r="M42" s="2"/>
      <c r="N42" s="57">
        <v>15</v>
      </c>
      <c r="O42" s="57">
        <v>13</v>
      </c>
      <c r="P42" s="57">
        <v>11</v>
      </c>
      <c r="Q42" s="3"/>
      <c r="R42" s="2">
        <v>11</v>
      </c>
      <c r="S42" s="4">
        <v>20</v>
      </c>
      <c r="T42" s="4">
        <v>40</v>
      </c>
      <c r="U42" s="4">
        <v>60</v>
      </c>
      <c r="V42" s="3">
        <v>80</v>
      </c>
      <c r="X42" s="2"/>
      <c r="Y42" s="4"/>
      <c r="Z42" s="4"/>
      <c r="AA42" s="4"/>
      <c r="AB42" s="3"/>
      <c r="AC42" s="16">
        <v>8</v>
      </c>
      <c r="AD42" s="4">
        <v>45</v>
      </c>
      <c r="AE42" s="4">
        <v>40</v>
      </c>
      <c r="AF42" s="4">
        <v>50</v>
      </c>
      <c r="AG42" s="3"/>
      <c r="AI42" s="2"/>
      <c r="AJ42" s="4">
        <v>1</v>
      </c>
      <c r="AK42" s="4">
        <v>1</v>
      </c>
      <c r="AL42" s="4">
        <v>1</v>
      </c>
      <c r="AM42" s="4">
        <v>1</v>
      </c>
      <c r="AN42" s="3">
        <v>1</v>
      </c>
      <c r="AO42" s="2">
        <v>1</v>
      </c>
      <c r="AP42" s="4"/>
      <c r="AQ42" s="4">
        <v>5</v>
      </c>
      <c r="AR42" s="4">
        <v>5</v>
      </c>
      <c r="AS42" s="4">
        <v>5</v>
      </c>
      <c r="AT42" s="4">
        <v>5</v>
      </c>
      <c r="AU42" s="3">
        <v>5</v>
      </c>
      <c r="AV42" s="221">
        <v>1</v>
      </c>
    </row>
    <row r="43" spans="1:48" x14ac:dyDescent="0.25">
      <c r="J43" s="2">
        <v>-2</v>
      </c>
      <c r="K43" s="3">
        <v>14</v>
      </c>
      <c r="M43" s="2"/>
      <c r="N43" s="4"/>
      <c r="O43" s="57">
        <v>14</v>
      </c>
      <c r="P43" s="57">
        <v>12</v>
      </c>
      <c r="Q43" s="3"/>
      <c r="R43" s="2">
        <v>12</v>
      </c>
      <c r="S43" s="4">
        <v>30</v>
      </c>
      <c r="T43" s="4">
        <v>50</v>
      </c>
      <c r="U43" s="57">
        <v>70</v>
      </c>
      <c r="V43" s="3">
        <v>90</v>
      </c>
      <c r="X43" s="2"/>
      <c r="Y43" s="4"/>
      <c r="Z43" s="4"/>
      <c r="AA43" s="4"/>
      <c r="AB43" s="3"/>
      <c r="AC43" s="16">
        <v>9</v>
      </c>
      <c r="AD43" s="4">
        <v>50</v>
      </c>
      <c r="AE43" s="4">
        <v>45</v>
      </c>
      <c r="AF43" s="4"/>
      <c r="AG43" s="3"/>
      <c r="AI43" s="2"/>
      <c r="AJ43" s="4">
        <v>2</v>
      </c>
      <c r="AK43" s="4">
        <v>2</v>
      </c>
      <c r="AL43" s="4">
        <v>2</v>
      </c>
      <c r="AM43" s="4">
        <v>2</v>
      </c>
      <c r="AN43" s="3">
        <v>2</v>
      </c>
      <c r="AO43" s="2">
        <v>2</v>
      </c>
      <c r="AP43" s="4"/>
      <c r="AQ43" s="4">
        <v>10</v>
      </c>
      <c r="AR43" s="4">
        <v>10</v>
      </c>
      <c r="AS43" s="4">
        <v>10</v>
      </c>
      <c r="AT43" s="4">
        <v>10</v>
      </c>
      <c r="AU43" s="3">
        <v>10</v>
      </c>
      <c r="AV43" s="221">
        <v>2</v>
      </c>
    </row>
    <row r="44" spans="1:48" x14ac:dyDescent="0.25">
      <c r="J44" s="2">
        <v>-3</v>
      </c>
      <c r="K44" s="3">
        <v>21</v>
      </c>
      <c r="M44" s="2"/>
      <c r="N44" s="4"/>
      <c r="O44" s="57">
        <v>15</v>
      </c>
      <c r="P44" s="57">
        <v>13</v>
      </c>
      <c r="Q44" s="3"/>
      <c r="R44" s="2">
        <v>13</v>
      </c>
      <c r="S44" s="4">
        <v>40</v>
      </c>
      <c r="T44" s="4">
        <v>60</v>
      </c>
      <c r="U44" s="57">
        <v>80</v>
      </c>
      <c r="V44" s="3">
        <v>100</v>
      </c>
      <c r="X44" s="5"/>
      <c r="Y44" s="14"/>
      <c r="Z44" s="14"/>
      <c r="AA44" s="14"/>
      <c r="AB44" s="15"/>
      <c r="AC44" s="17">
        <v>10</v>
      </c>
      <c r="AD44" s="14">
        <v>55</v>
      </c>
      <c r="AE44" s="14">
        <v>50</v>
      </c>
      <c r="AF44" s="14"/>
      <c r="AG44" s="15"/>
      <c r="AI44" s="2"/>
      <c r="AJ44" s="4">
        <v>3</v>
      </c>
      <c r="AK44" s="4">
        <v>3</v>
      </c>
      <c r="AL44" s="4">
        <v>3</v>
      </c>
      <c r="AM44" s="4">
        <v>3</v>
      </c>
      <c r="AN44" s="3">
        <v>3</v>
      </c>
      <c r="AO44" s="2">
        <v>3</v>
      </c>
      <c r="AP44" s="4"/>
      <c r="AQ44" s="4">
        <v>15</v>
      </c>
      <c r="AR44" s="4">
        <v>15</v>
      </c>
      <c r="AS44" s="4">
        <v>15</v>
      </c>
      <c r="AT44" s="4">
        <v>15</v>
      </c>
      <c r="AU44" s="3">
        <v>15</v>
      </c>
      <c r="AV44" s="221">
        <v>3</v>
      </c>
    </row>
    <row r="45" spans="1:48" x14ac:dyDescent="0.25">
      <c r="J45" s="2">
        <v>-4</v>
      </c>
      <c r="K45" s="3">
        <v>28</v>
      </c>
      <c r="M45" s="2"/>
      <c r="N45" s="4"/>
      <c r="O45" s="4"/>
      <c r="P45" s="57">
        <v>14</v>
      </c>
      <c r="Q45" s="3"/>
      <c r="R45" s="2">
        <v>14</v>
      </c>
      <c r="S45" s="4">
        <v>50</v>
      </c>
      <c r="T45" s="57">
        <v>70</v>
      </c>
      <c r="U45" s="57">
        <v>90</v>
      </c>
      <c r="V45" s="3">
        <v>110</v>
      </c>
      <c r="AI45" s="2"/>
      <c r="AJ45" s="4">
        <v>4</v>
      </c>
      <c r="AK45" s="4">
        <v>4</v>
      </c>
      <c r="AL45" s="4">
        <v>4</v>
      </c>
      <c r="AM45" s="4">
        <v>4</v>
      </c>
      <c r="AN45" s="3">
        <v>4</v>
      </c>
      <c r="AO45" s="2">
        <v>4</v>
      </c>
      <c r="AP45" s="4"/>
      <c r="AQ45" s="4">
        <v>20</v>
      </c>
      <c r="AR45" s="4">
        <v>20</v>
      </c>
      <c r="AS45" s="4">
        <v>20</v>
      </c>
      <c r="AT45" s="4">
        <v>20</v>
      </c>
      <c r="AU45" s="3">
        <v>20</v>
      </c>
      <c r="AV45" s="221">
        <v>4</v>
      </c>
    </row>
    <row r="46" spans="1:48" x14ac:dyDescent="0.25">
      <c r="J46" s="58" t="s">
        <v>250</v>
      </c>
      <c r="K46" s="15">
        <v>35</v>
      </c>
      <c r="M46" s="5"/>
      <c r="N46" s="14"/>
      <c r="O46" s="14"/>
      <c r="P46" s="14">
        <v>15</v>
      </c>
      <c r="Q46" s="15"/>
      <c r="R46" s="5">
        <v>15</v>
      </c>
      <c r="S46" s="14">
        <v>60</v>
      </c>
      <c r="T46" s="14">
        <v>80</v>
      </c>
      <c r="U46" s="14">
        <v>100</v>
      </c>
      <c r="V46" s="15">
        <v>120</v>
      </c>
      <c r="AI46" s="2"/>
      <c r="AJ46" s="4">
        <v>5</v>
      </c>
      <c r="AK46" s="4">
        <v>5</v>
      </c>
      <c r="AL46" s="4">
        <v>5</v>
      </c>
      <c r="AM46" s="4">
        <v>5</v>
      </c>
      <c r="AN46" s="3">
        <v>5</v>
      </c>
      <c r="AO46" s="2">
        <v>5</v>
      </c>
      <c r="AP46" s="4"/>
      <c r="AQ46" s="4">
        <v>25</v>
      </c>
      <c r="AR46" s="4">
        <v>25</v>
      </c>
      <c r="AS46" s="4">
        <v>25</v>
      </c>
      <c r="AT46" s="4">
        <v>25</v>
      </c>
      <c r="AU46" s="3">
        <v>25</v>
      </c>
      <c r="AV46" s="221">
        <v>5</v>
      </c>
    </row>
    <row r="47" spans="1:48" ht="15.75" x14ac:dyDescent="0.25">
      <c r="X47" s="31" t="s">
        <v>48</v>
      </c>
      <c r="Y47" s="10"/>
      <c r="Z47" s="10"/>
      <c r="AA47" s="10"/>
      <c r="AB47" s="1"/>
      <c r="AC47" s="31" t="s">
        <v>49</v>
      </c>
      <c r="AD47" s="10"/>
      <c r="AE47" s="10"/>
      <c r="AF47" s="10"/>
      <c r="AG47" s="1"/>
      <c r="AI47" s="2"/>
      <c r="AJ47" s="4">
        <v>6</v>
      </c>
      <c r="AK47" s="4">
        <v>6</v>
      </c>
      <c r="AL47" s="4">
        <v>6</v>
      </c>
      <c r="AM47" s="4">
        <v>6</v>
      </c>
      <c r="AN47" s="3">
        <v>6</v>
      </c>
      <c r="AO47" s="2">
        <v>6</v>
      </c>
      <c r="AP47" s="4"/>
      <c r="AQ47" s="4">
        <v>30</v>
      </c>
      <c r="AR47" s="4">
        <v>30</v>
      </c>
      <c r="AS47" s="4">
        <v>30</v>
      </c>
      <c r="AT47" s="4">
        <v>30</v>
      </c>
      <c r="AU47" s="3">
        <v>30</v>
      </c>
      <c r="AV47" s="221">
        <v>6</v>
      </c>
    </row>
    <row r="48" spans="1:48" x14ac:dyDescent="0.25">
      <c r="X48" s="2" t="s">
        <v>36</v>
      </c>
      <c r="Y48" s="4" t="s">
        <v>37</v>
      </c>
      <c r="Z48" s="4" t="s">
        <v>38</v>
      </c>
      <c r="AA48" s="4" t="s">
        <v>39</v>
      </c>
      <c r="AB48" s="3"/>
      <c r="AC48" s="21" t="s">
        <v>48</v>
      </c>
      <c r="AD48" s="4" t="s">
        <v>36</v>
      </c>
      <c r="AE48" s="4" t="s">
        <v>37</v>
      </c>
      <c r="AF48" s="4" t="s">
        <v>38</v>
      </c>
      <c r="AG48" s="3" t="s">
        <v>39</v>
      </c>
      <c r="AI48" s="2"/>
      <c r="AJ48" s="4">
        <v>7</v>
      </c>
      <c r="AK48" s="4">
        <v>7</v>
      </c>
      <c r="AL48" s="4">
        <v>7</v>
      </c>
      <c r="AM48" s="4">
        <v>7</v>
      </c>
      <c r="AN48" s="3">
        <v>7</v>
      </c>
      <c r="AO48" s="2">
        <v>7</v>
      </c>
      <c r="AP48" s="4"/>
      <c r="AQ48" s="4">
        <v>35</v>
      </c>
      <c r="AR48" s="4">
        <v>35</v>
      </c>
      <c r="AS48" s="4">
        <v>35</v>
      </c>
      <c r="AT48" s="4">
        <v>35</v>
      </c>
      <c r="AU48" s="3">
        <v>35</v>
      </c>
      <c r="AV48" s="221">
        <v>7</v>
      </c>
    </row>
    <row r="49" spans="1:48" ht="15.75" x14ac:dyDescent="0.25">
      <c r="J49" s="31" t="s">
        <v>32</v>
      </c>
      <c r="K49" s="1" t="s">
        <v>79</v>
      </c>
      <c r="X49" s="2" t="s">
        <v>50</v>
      </c>
      <c r="Y49" s="4" t="s">
        <v>50</v>
      </c>
      <c r="Z49" s="4" t="s">
        <v>50</v>
      </c>
      <c r="AA49" s="4" t="s">
        <v>50</v>
      </c>
      <c r="AB49" s="3"/>
      <c r="AC49" s="2" t="s">
        <v>50</v>
      </c>
      <c r="AD49" s="4">
        <v>0</v>
      </c>
      <c r="AE49" s="4">
        <v>0</v>
      </c>
      <c r="AF49" s="4">
        <v>0</v>
      </c>
      <c r="AG49" s="3">
        <v>0</v>
      </c>
      <c r="AI49" s="2"/>
      <c r="AJ49" s="4">
        <v>8</v>
      </c>
      <c r="AK49" s="4">
        <v>8</v>
      </c>
      <c r="AL49" s="4">
        <v>8</v>
      </c>
      <c r="AM49" s="4">
        <v>8</v>
      </c>
      <c r="AN49" s="3">
        <v>8</v>
      </c>
      <c r="AO49" s="2">
        <v>8</v>
      </c>
      <c r="AP49" s="4"/>
      <c r="AQ49" s="4">
        <v>40</v>
      </c>
      <c r="AR49" s="4">
        <v>40</v>
      </c>
      <c r="AS49" s="4">
        <v>40</v>
      </c>
      <c r="AT49" s="4">
        <v>40</v>
      </c>
      <c r="AU49" s="3">
        <v>40</v>
      </c>
      <c r="AV49" s="221">
        <v>8</v>
      </c>
    </row>
    <row r="50" spans="1:48" ht="15.75" x14ac:dyDescent="0.25">
      <c r="J50" s="2">
        <v>10</v>
      </c>
      <c r="K50" s="3">
        <v>0</v>
      </c>
      <c r="M50" s="31" t="s">
        <v>30</v>
      </c>
      <c r="N50" s="10"/>
      <c r="O50" s="10"/>
      <c r="P50" s="10"/>
      <c r="Q50" s="1"/>
      <c r="R50" s="31" t="s">
        <v>42</v>
      </c>
      <c r="S50" s="10"/>
      <c r="T50" s="10"/>
      <c r="U50" s="10"/>
      <c r="V50" s="1"/>
      <c r="X50" s="2"/>
      <c r="Y50" s="4"/>
      <c r="Z50" s="23" t="s">
        <v>51</v>
      </c>
      <c r="AA50" s="23" t="s">
        <v>51</v>
      </c>
      <c r="AB50" s="3"/>
      <c r="AC50" s="25" t="s">
        <v>51</v>
      </c>
      <c r="AD50" s="4"/>
      <c r="AE50" s="4"/>
      <c r="AF50" s="4">
        <v>20</v>
      </c>
      <c r="AG50" s="3">
        <v>20</v>
      </c>
      <c r="AI50" s="2"/>
      <c r="AJ50" s="4">
        <v>9</v>
      </c>
      <c r="AK50" s="4">
        <v>9</v>
      </c>
      <c r="AL50" s="4">
        <v>9</v>
      </c>
      <c r="AM50" s="4">
        <v>9</v>
      </c>
      <c r="AN50" s="3">
        <v>9</v>
      </c>
      <c r="AO50" s="2">
        <v>9</v>
      </c>
      <c r="AP50" s="4"/>
      <c r="AQ50" s="4">
        <v>45</v>
      </c>
      <c r="AR50" s="4">
        <v>45</v>
      </c>
      <c r="AS50" s="4">
        <v>45</v>
      </c>
      <c r="AT50" s="4">
        <v>45</v>
      </c>
      <c r="AU50" s="3">
        <v>45</v>
      </c>
      <c r="AV50" s="221">
        <v>9</v>
      </c>
    </row>
    <row r="51" spans="1:48" x14ac:dyDescent="0.25">
      <c r="J51" s="2">
        <v>9</v>
      </c>
      <c r="K51" s="3">
        <v>3</v>
      </c>
      <c r="M51" s="2" t="s">
        <v>36</v>
      </c>
      <c r="N51" s="4" t="s">
        <v>37</v>
      </c>
      <c r="O51" s="4" t="s">
        <v>38</v>
      </c>
      <c r="P51" s="4" t="s">
        <v>39</v>
      </c>
      <c r="Q51" s="3"/>
      <c r="R51" s="2" t="s">
        <v>30</v>
      </c>
      <c r="S51" s="4" t="s">
        <v>36</v>
      </c>
      <c r="T51" s="4" t="s">
        <v>37</v>
      </c>
      <c r="U51" s="4" t="s">
        <v>38</v>
      </c>
      <c r="V51" s="3" t="s">
        <v>39</v>
      </c>
      <c r="X51" s="5"/>
      <c r="Y51" s="14"/>
      <c r="Z51" s="24" t="s">
        <v>52</v>
      </c>
      <c r="AA51" s="24" t="s">
        <v>52</v>
      </c>
      <c r="AB51" s="15"/>
      <c r="AC51" s="26" t="s">
        <v>52</v>
      </c>
      <c r="AD51" s="14"/>
      <c r="AE51" s="14"/>
      <c r="AF51" s="14">
        <v>40</v>
      </c>
      <c r="AG51" s="15">
        <v>40</v>
      </c>
      <c r="AI51" s="2"/>
      <c r="AJ51" s="4">
        <v>10</v>
      </c>
      <c r="AK51" s="4">
        <v>10</v>
      </c>
      <c r="AL51" s="4">
        <v>10</v>
      </c>
      <c r="AM51" s="4">
        <v>10</v>
      </c>
      <c r="AN51" s="3">
        <v>10</v>
      </c>
      <c r="AO51" s="2">
        <v>10</v>
      </c>
      <c r="AP51" s="4"/>
      <c r="AQ51" s="4">
        <v>50</v>
      </c>
      <c r="AR51" s="4">
        <v>50</v>
      </c>
      <c r="AS51" s="4">
        <v>50</v>
      </c>
      <c r="AT51" s="4">
        <v>50</v>
      </c>
      <c r="AU51" s="3">
        <v>50</v>
      </c>
      <c r="AV51" s="221">
        <v>10</v>
      </c>
    </row>
    <row r="52" spans="1:48" x14ac:dyDescent="0.25">
      <c r="J52" s="2">
        <v>8</v>
      </c>
      <c r="K52" s="3">
        <v>6</v>
      </c>
      <c r="M52" s="2">
        <v>3</v>
      </c>
      <c r="N52" s="4">
        <v>5</v>
      </c>
      <c r="O52" s="4">
        <v>10</v>
      </c>
      <c r="P52" s="4">
        <v>15</v>
      </c>
      <c r="Q52" s="3"/>
      <c r="R52" s="2">
        <v>3</v>
      </c>
      <c r="S52" s="4">
        <v>0</v>
      </c>
      <c r="T52" s="4"/>
      <c r="U52" s="4"/>
      <c r="V52" s="3"/>
      <c r="AI52" s="2"/>
      <c r="AJ52" s="4"/>
      <c r="AK52" s="4">
        <v>11</v>
      </c>
      <c r="AL52" s="4">
        <v>11</v>
      </c>
      <c r="AM52" s="4">
        <v>11</v>
      </c>
      <c r="AN52" s="3">
        <v>11</v>
      </c>
      <c r="AO52" s="2">
        <v>11</v>
      </c>
      <c r="AP52" s="4"/>
      <c r="AQ52" s="4"/>
      <c r="AR52" s="4">
        <v>55</v>
      </c>
      <c r="AS52" s="4">
        <v>55</v>
      </c>
      <c r="AT52" s="4">
        <v>55</v>
      </c>
      <c r="AU52" s="3">
        <v>55</v>
      </c>
      <c r="AV52" s="221">
        <v>11</v>
      </c>
    </row>
    <row r="53" spans="1:48" x14ac:dyDescent="0.25">
      <c r="J53" s="2">
        <v>7</v>
      </c>
      <c r="K53" s="3">
        <v>9</v>
      </c>
      <c r="M53" s="2">
        <v>4</v>
      </c>
      <c r="N53" s="4">
        <v>6</v>
      </c>
      <c r="O53" s="4">
        <v>11</v>
      </c>
      <c r="P53" s="4">
        <v>16</v>
      </c>
      <c r="Q53" s="3"/>
      <c r="R53" s="2">
        <v>4</v>
      </c>
      <c r="S53" s="4">
        <f>S52+3</f>
        <v>3</v>
      </c>
      <c r="T53" s="4"/>
      <c r="U53" s="4"/>
      <c r="V53" s="3"/>
      <c r="AI53" s="2"/>
      <c r="AJ53" s="4"/>
      <c r="AK53" s="4">
        <v>12</v>
      </c>
      <c r="AL53" s="4">
        <v>12</v>
      </c>
      <c r="AM53" s="4">
        <v>12</v>
      </c>
      <c r="AN53" s="3">
        <v>12</v>
      </c>
      <c r="AO53" s="2">
        <v>12</v>
      </c>
      <c r="AP53" s="4"/>
      <c r="AQ53" s="4"/>
      <c r="AR53" s="4">
        <v>60</v>
      </c>
      <c r="AS53" s="4">
        <v>60</v>
      </c>
      <c r="AT53" s="4">
        <v>60</v>
      </c>
      <c r="AU53" s="3">
        <v>60</v>
      </c>
      <c r="AV53" s="221">
        <v>12</v>
      </c>
    </row>
    <row r="54" spans="1:48" ht="15.75" x14ac:dyDescent="0.25">
      <c r="J54" s="2">
        <v>6</v>
      </c>
      <c r="K54" s="3">
        <v>12</v>
      </c>
      <c r="M54" s="2">
        <v>5</v>
      </c>
      <c r="N54" s="4">
        <v>7</v>
      </c>
      <c r="O54" s="4">
        <v>12</v>
      </c>
      <c r="P54" s="18">
        <v>17</v>
      </c>
      <c r="Q54" s="3"/>
      <c r="R54" s="2">
        <v>5</v>
      </c>
      <c r="S54" s="4">
        <f t="shared" ref="S54:S89" si="0">S53+3</f>
        <v>6</v>
      </c>
      <c r="T54" s="4">
        <v>0</v>
      </c>
      <c r="U54" s="4"/>
      <c r="V54" s="3"/>
      <c r="X54" s="31" t="s">
        <v>53</v>
      </c>
      <c r="Y54" s="10"/>
      <c r="Z54" s="10"/>
      <c r="AA54" s="10"/>
      <c r="AB54" s="1"/>
      <c r="AC54" s="31" t="s">
        <v>54</v>
      </c>
      <c r="AD54" s="10"/>
      <c r="AE54" s="10"/>
      <c r="AF54" s="10"/>
      <c r="AG54" s="1"/>
      <c r="AI54" s="2"/>
      <c r="AJ54" s="4"/>
      <c r="AK54" s="4">
        <v>13</v>
      </c>
      <c r="AL54" s="4">
        <v>13</v>
      </c>
      <c r="AM54" s="4">
        <v>13</v>
      </c>
      <c r="AN54" s="3">
        <v>13</v>
      </c>
      <c r="AO54" s="2">
        <v>13</v>
      </c>
      <c r="AP54" s="4"/>
      <c r="AQ54" s="4"/>
      <c r="AR54" s="4">
        <v>65</v>
      </c>
      <c r="AS54" s="4">
        <v>65</v>
      </c>
      <c r="AT54" s="4">
        <v>65</v>
      </c>
      <c r="AU54" s="3">
        <v>65</v>
      </c>
      <c r="AV54" s="221">
        <v>13</v>
      </c>
    </row>
    <row r="55" spans="1:48" x14ac:dyDescent="0.25">
      <c r="J55" s="2">
        <v>5</v>
      </c>
      <c r="K55" s="3">
        <v>15</v>
      </c>
      <c r="M55" s="2">
        <v>6</v>
      </c>
      <c r="N55" s="4">
        <v>8</v>
      </c>
      <c r="O55" s="4">
        <v>13</v>
      </c>
      <c r="P55" s="18">
        <v>18</v>
      </c>
      <c r="Q55" s="3"/>
      <c r="R55" s="2">
        <v>6</v>
      </c>
      <c r="S55" s="4">
        <f t="shared" si="0"/>
        <v>9</v>
      </c>
      <c r="T55" s="4">
        <f>T54+3</f>
        <v>3</v>
      </c>
      <c r="U55" s="4"/>
      <c r="V55" s="3"/>
      <c r="X55" s="2" t="s">
        <v>36</v>
      </c>
      <c r="Y55" s="4" t="s">
        <v>37</v>
      </c>
      <c r="Z55" s="4" t="s">
        <v>38</v>
      </c>
      <c r="AA55" s="4" t="s">
        <v>39</v>
      </c>
      <c r="AB55" s="3"/>
      <c r="AC55" s="21" t="s">
        <v>53</v>
      </c>
      <c r="AD55" s="4" t="s">
        <v>36</v>
      </c>
      <c r="AE55" s="4" t="s">
        <v>37</v>
      </c>
      <c r="AF55" s="4" t="s">
        <v>38</v>
      </c>
      <c r="AG55" s="3" t="s">
        <v>39</v>
      </c>
      <c r="AI55" s="2"/>
      <c r="AJ55" s="4"/>
      <c r="AK55" s="4">
        <v>14</v>
      </c>
      <c r="AL55" s="4">
        <v>14</v>
      </c>
      <c r="AM55" s="4">
        <v>14</v>
      </c>
      <c r="AN55" s="3">
        <v>14</v>
      </c>
      <c r="AO55" s="2">
        <v>14</v>
      </c>
      <c r="AP55" s="4"/>
      <c r="AQ55" s="4"/>
      <c r="AR55" s="4">
        <v>70</v>
      </c>
      <c r="AS55" s="4">
        <v>70</v>
      </c>
      <c r="AT55" s="4">
        <v>70</v>
      </c>
      <c r="AU55" s="3">
        <v>70</v>
      </c>
      <c r="AV55" s="221">
        <v>14</v>
      </c>
    </row>
    <row r="56" spans="1:48" x14ac:dyDescent="0.25">
      <c r="J56" s="5">
        <v>4</v>
      </c>
      <c r="K56" s="15">
        <v>18</v>
      </c>
      <c r="M56" s="2">
        <v>7</v>
      </c>
      <c r="N56" s="4">
        <v>9</v>
      </c>
      <c r="O56" s="4">
        <v>14</v>
      </c>
      <c r="P56" s="18">
        <v>19</v>
      </c>
      <c r="Q56" s="3"/>
      <c r="R56" s="2">
        <v>7</v>
      </c>
      <c r="S56" s="4">
        <f t="shared" si="0"/>
        <v>12</v>
      </c>
      <c r="T56" s="4">
        <f t="shared" ref="T56:T119" si="1">T55+3</f>
        <v>6</v>
      </c>
      <c r="U56" s="4"/>
      <c r="V56" s="3"/>
      <c r="X56" s="2" t="s">
        <v>50</v>
      </c>
      <c r="Y56" s="4" t="s">
        <v>50</v>
      </c>
      <c r="Z56" s="4" t="s">
        <v>50</v>
      </c>
      <c r="AA56" s="4" t="s">
        <v>50</v>
      </c>
      <c r="AB56" s="3"/>
      <c r="AC56" s="2" t="s">
        <v>50</v>
      </c>
      <c r="AD56" s="4">
        <v>0</v>
      </c>
      <c r="AE56" s="4">
        <v>0</v>
      </c>
      <c r="AF56" s="4">
        <v>0</v>
      </c>
      <c r="AG56" s="3">
        <v>0</v>
      </c>
      <c r="AI56" s="2"/>
      <c r="AJ56" s="4"/>
      <c r="AK56" s="4">
        <v>15</v>
      </c>
      <c r="AL56" s="4">
        <v>15</v>
      </c>
      <c r="AM56" s="4">
        <v>15</v>
      </c>
      <c r="AN56" s="3">
        <v>15</v>
      </c>
      <c r="AO56" s="2">
        <v>15</v>
      </c>
      <c r="AP56" s="4"/>
      <c r="AQ56" s="4"/>
      <c r="AR56" s="4">
        <v>75</v>
      </c>
      <c r="AS56" s="4">
        <v>75</v>
      </c>
      <c r="AT56" s="4">
        <v>75</v>
      </c>
      <c r="AU56" s="3">
        <v>75</v>
      </c>
      <c r="AV56" s="221">
        <v>15</v>
      </c>
    </row>
    <row r="57" spans="1:48" x14ac:dyDescent="0.25">
      <c r="M57" s="2">
        <v>8</v>
      </c>
      <c r="N57" s="4">
        <v>10</v>
      </c>
      <c r="O57" s="4">
        <v>15</v>
      </c>
      <c r="P57" s="18">
        <v>20</v>
      </c>
      <c r="Q57" s="3"/>
      <c r="R57" s="2">
        <v>8</v>
      </c>
      <c r="S57" s="4">
        <f t="shared" si="0"/>
        <v>15</v>
      </c>
      <c r="T57" s="4">
        <f t="shared" si="1"/>
        <v>9</v>
      </c>
      <c r="U57" s="4"/>
      <c r="V57" s="3"/>
      <c r="X57" s="5"/>
      <c r="Y57" s="14"/>
      <c r="Z57" s="24"/>
      <c r="AA57" s="24" t="s">
        <v>55</v>
      </c>
      <c r="AB57" s="15"/>
      <c r="AC57" s="26" t="s">
        <v>55</v>
      </c>
      <c r="AD57" s="14"/>
      <c r="AE57" s="14"/>
      <c r="AF57" s="14"/>
      <c r="AG57" s="15">
        <v>30</v>
      </c>
      <c r="AI57" s="2"/>
      <c r="AJ57" s="4"/>
      <c r="AK57" s="4">
        <v>16</v>
      </c>
      <c r="AL57" s="4">
        <v>16</v>
      </c>
      <c r="AM57" s="4">
        <v>16</v>
      </c>
      <c r="AN57" s="3">
        <v>16</v>
      </c>
      <c r="AO57" s="2">
        <v>16</v>
      </c>
      <c r="AP57" s="4"/>
      <c r="AQ57" s="4"/>
      <c r="AR57" s="4">
        <v>80</v>
      </c>
      <c r="AS57" s="4">
        <v>80</v>
      </c>
      <c r="AT57" s="4">
        <v>80</v>
      </c>
      <c r="AU57" s="3">
        <v>80</v>
      </c>
      <c r="AV57" s="221">
        <v>16</v>
      </c>
    </row>
    <row r="58" spans="1:48" x14ac:dyDescent="0.25">
      <c r="A58" s="4"/>
      <c r="M58" s="2">
        <v>9</v>
      </c>
      <c r="N58" s="4">
        <v>11</v>
      </c>
      <c r="O58" s="4">
        <v>16</v>
      </c>
      <c r="P58" s="18">
        <v>21</v>
      </c>
      <c r="Q58" s="3"/>
      <c r="R58" s="2">
        <v>9</v>
      </c>
      <c r="S58" s="4">
        <f t="shared" si="0"/>
        <v>18</v>
      </c>
      <c r="T58" s="4">
        <f t="shared" si="1"/>
        <v>12</v>
      </c>
      <c r="U58" s="4"/>
      <c r="V58" s="3"/>
      <c r="AI58" s="2"/>
      <c r="AJ58" s="4"/>
      <c r="AK58" s="4">
        <v>17</v>
      </c>
      <c r="AL58" s="4">
        <v>17</v>
      </c>
      <c r="AM58" s="4">
        <v>17</v>
      </c>
      <c r="AN58" s="3">
        <v>17</v>
      </c>
      <c r="AO58" s="2">
        <v>17</v>
      </c>
      <c r="AP58" s="4"/>
      <c r="AQ58" s="4"/>
      <c r="AR58" s="4">
        <v>85</v>
      </c>
      <c r="AS58" s="4">
        <v>85</v>
      </c>
      <c r="AT58" s="4">
        <v>85</v>
      </c>
      <c r="AU58" s="3">
        <v>85</v>
      </c>
      <c r="AV58" s="221">
        <v>17</v>
      </c>
    </row>
    <row r="59" spans="1:48" ht="15.75" x14ac:dyDescent="0.25">
      <c r="A59" s="33" t="s">
        <v>8</v>
      </c>
      <c r="M59" s="2">
        <v>10</v>
      </c>
      <c r="N59" s="4">
        <v>12</v>
      </c>
      <c r="O59" s="4">
        <v>17</v>
      </c>
      <c r="P59" s="18">
        <v>22</v>
      </c>
      <c r="Q59" s="3"/>
      <c r="R59" s="2">
        <v>10</v>
      </c>
      <c r="S59" s="4">
        <f t="shared" si="0"/>
        <v>21</v>
      </c>
      <c r="T59" s="4">
        <f t="shared" si="1"/>
        <v>15</v>
      </c>
      <c r="U59" s="4">
        <v>0</v>
      </c>
      <c r="V59" s="3"/>
      <c r="AI59" s="2"/>
      <c r="AJ59" s="4"/>
      <c r="AK59" s="4">
        <v>18</v>
      </c>
      <c r="AL59" s="4">
        <v>18</v>
      </c>
      <c r="AM59" s="4">
        <v>18</v>
      </c>
      <c r="AN59" s="3">
        <v>18</v>
      </c>
      <c r="AO59" s="2">
        <v>18</v>
      </c>
      <c r="AP59" s="4"/>
      <c r="AQ59" s="4"/>
      <c r="AR59" s="4">
        <v>90</v>
      </c>
      <c r="AS59" s="4">
        <v>90</v>
      </c>
      <c r="AT59" s="4">
        <v>90</v>
      </c>
      <c r="AU59" s="3">
        <v>90</v>
      </c>
      <c r="AV59" s="221">
        <v>18</v>
      </c>
    </row>
    <row r="60" spans="1:48" ht="15.75" x14ac:dyDescent="0.25">
      <c r="A60" t="s">
        <v>69</v>
      </c>
      <c r="B60" t="s">
        <v>5</v>
      </c>
      <c r="C60" s="99" t="s">
        <v>444</v>
      </c>
      <c r="D60" t="s">
        <v>330</v>
      </c>
      <c r="E60" t="s">
        <v>331</v>
      </c>
      <c r="F60" t="s">
        <v>327</v>
      </c>
      <c r="G60" t="s">
        <v>331</v>
      </c>
      <c r="H60" t="s">
        <v>328</v>
      </c>
      <c r="I60" t="s">
        <v>329</v>
      </c>
      <c r="J60" t="s">
        <v>70</v>
      </c>
      <c r="K60" t="s">
        <v>11</v>
      </c>
      <c r="M60" s="2">
        <v>11</v>
      </c>
      <c r="N60" s="4">
        <v>13</v>
      </c>
      <c r="O60" s="4">
        <v>18</v>
      </c>
      <c r="P60" s="18">
        <v>23</v>
      </c>
      <c r="Q60" s="3"/>
      <c r="R60" s="2">
        <v>11</v>
      </c>
      <c r="S60" s="4">
        <f t="shared" si="0"/>
        <v>24</v>
      </c>
      <c r="T60" s="4">
        <f t="shared" si="1"/>
        <v>18</v>
      </c>
      <c r="U60" s="4">
        <f>U59+3</f>
        <v>3</v>
      </c>
      <c r="V60" s="3"/>
      <c r="X60" s="31" t="s">
        <v>56</v>
      </c>
      <c r="Y60" s="10"/>
      <c r="Z60" s="10"/>
      <c r="AA60" s="10"/>
      <c r="AB60" s="1"/>
      <c r="AC60" s="31" t="s">
        <v>57</v>
      </c>
      <c r="AD60" s="10"/>
      <c r="AE60" s="10"/>
      <c r="AF60" s="10"/>
      <c r="AG60" s="1"/>
      <c r="AI60" s="2"/>
      <c r="AJ60" s="4"/>
      <c r="AK60" s="4">
        <v>19</v>
      </c>
      <c r="AL60" s="4">
        <v>19</v>
      </c>
      <c r="AM60" s="4">
        <v>19</v>
      </c>
      <c r="AN60" s="3">
        <v>19</v>
      </c>
      <c r="AO60" s="2">
        <v>19</v>
      </c>
      <c r="AP60" s="4"/>
      <c r="AQ60" s="4"/>
      <c r="AR60" s="4">
        <v>95</v>
      </c>
      <c r="AS60" s="4">
        <v>95</v>
      </c>
      <c r="AT60" s="4">
        <v>95</v>
      </c>
      <c r="AU60" s="3">
        <v>95</v>
      </c>
      <c r="AV60" s="221">
        <v>19</v>
      </c>
    </row>
    <row r="61" spans="1:48" x14ac:dyDescent="0.25">
      <c r="A61" s="34" t="s">
        <v>243</v>
      </c>
      <c r="M61" s="2">
        <v>12</v>
      </c>
      <c r="N61" s="4">
        <v>14</v>
      </c>
      <c r="O61" s="4">
        <v>19</v>
      </c>
      <c r="P61" s="18">
        <v>24</v>
      </c>
      <c r="Q61" s="3"/>
      <c r="R61" s="2">
        <v>12</v>
      </c>
      <c r="S61" s="4">
        <f t="shared" si="0"/>
        <v>27</v>
      </c>
      <c r="T61" s="4">
        <f t="shared" si="1"/>
        <v>21</v>
      </c>
      <c r="U61" s="4">
        <f t="shared" ref="U61:U124" si="2">U60+3</f>
        <v>6</v>
      </c>
      <c r="V61" s="3"/>
      <c r="X61" s="2" t="s">
        <v>36</v>
      </c>
      <c r="Y61" s="4" t="s">
        <v>37</v>
      </c>
      <c r="Z61" s="4" t="s">
        <v>38</v>
      </c>
      <c r="AA61" s="4" t="s">
        <v>39</v>
      </c>
      <c r="AB61" s="3"/>
      <c r="AC61" s="21" t="s">
        <v>56</v>
      </c>
      <c r="AD61" s="4" t="s">
        <v>36</v>
      </c>
      <c r="AE61" s="4" t="s">
        <v>37</v>
      </c>
      <c r="AF61" s="4" t="s">
        <v>38</v>
      </c>
      <c r="AG61" s="3" t="s">
        <v>39</v>
      </c>
      <c r="AI61" s="2"/>
      <c r="AJ61" s="4"/>
      <c r="AK61" s="4">
        <v>20</v>
      </c>
      <c r="AL61" s="4">
        <v>20</v>
      </c>
      <c r="AM61" s="4">
        <v>20</v>
      </c>
      <c r="AN61" s="3">
        <v>20</v>
      </c>
      <c r="AO61" s="2">
        <v>20</v>
      </c>
      <c r="AP61" s="4"/>
      <c r="AQ61" s="4"/>
      <c r="AR61" s="4">
        <v>100</v>
      </c>
      <c r="AS61" s="4">
        <v>100</v>
      </c>
      <c r="AT61" s="4">
        <v>100</v>
      </c>
      <c r="AU61" s="3">
        <v>100</v>
      </c>
      <c r="AV61" s="221">
        <v>20</v>
      </c>
    </row>
    <row r="62" spans="1:48" x14ac:dyDescent="0.25">
      <c r="A62" s="32" t="s">
        <v>104</v>
      </c>
      <c r="M62" s="2">
        <v>13</v>
      </c>
      <c r="N62" s="4">
        <v>15</v>
      </c>
      <c r="O62" s="4">
        <v>20</v>
      </c>
      <c r="P62" s="18">
        <v>25</v>
      </c>
      <c r="Q62" s="3"/>
      <c r="R62" s="2">
        <v>13</v>
      </c>
      <c r="S62" s="4">
        <f t="shared" si="0"/>
        <v>30</v>
      </c>
      <c r="T62" s="4">
        <f t="shared" si="1"/>
        <v>24</v>
      </c>
      <c r="U62" s="4">
        <f t="shared" si="2"/>
        <v>9</v>
      </c>
      <c r="V62" s="3"/>
      <c r="X62" s="2">
        <v>-2</v>
      </c>
      <c r="Y62" s="20" t="s">
        <v>47</v>
      </c>
      <c r="Z62" s="22">
        <v>2</v>
      </c>
      <c r="AA62" s="22">
        <v>4</v>
      </c>
      <c r="AB62" s="3"/>
      <c r="AC62" s="2">
        <v>-2</v>
      </c>
      <c r="AD62" s="4">
        <v>0</v>
      </c>
      <c r="AE62" s="4"/>
      <c r="AF62" s="4"/>
      <c r="AG62" s="3"/>
      <c r="AI62" s="2"/>
      <c r="AJ62" s="4"/>
      <c r="AK62" s="4"/>
      <c r="AL62" s="4">
        <v>21</v>
      </c>
      <c r="AM62" s="4">
        <v>21</v>
      </c>
      <c r="AN62" s="3">
        <v>21</v>
      </c>
      <c r="AO62" s="2">
        <v>21</v>
      </c>
      <c r="AP62" s="4"/>
      <c r="AQ62" s="4"/>
      <c r="AR62" s="4"/>
      <c r="AS62" s="4">
        <v>105</v>
      </c>
      <c r="AT62" s="4">
        <v>105</v>
      </c>
      <c r="AU62" s="3">
        <v>105</v>
      </c>
      <c r="AV62" s="221">
        <v>21</v>
      </c>
    </row>
    <row r="63" spans="1:48" x14ac:dyDescent="0.25">
      <c r="A63" t="s">
        <v>71</v>
      </c>
      <c r="B63" t="s">
        <v>101</v>
      </c>
      <c r="C63" s="99">
        <v>2</v>
      </c>
      <c r="D63" s="99">
        <v>-1</v>
      </c>
      <c r="E63">
        <v>2</v>
      </c>
      <c r="F63" t="s">
        <v>327</v>
      </c>
      <c r="G63" s="13"/>
      <c r="H63" t="s">
        <v>328</v>
      </c>
      <c r="I63" s="99">
        <v>-2</v>
      </c>
      <c r="J63">
        <v>0</v>
      </c>
      <c r="K63" s="12">
        <v>20</v>
      </c>
      <c r="L63" s="12"/>
      <c r="M63" s="2">
        <v>14</v>
      </c>
      <c r="N63" s="4">
        <v>16</v>
      </c>
      <c r="O63" s="4">
        <v>21</v>
      </c>
      <c r="P63" s="18">
        <v>26</v>
      </c>
      <c r="Q63" s="3"/>
      <c r="R63" s="2">
        <v>14</v>
      </c>
      <c r="S63" s="4">
        <f t="shared" si="0"/>
        <v>33</v>
      </c>
      <c r="T63" s="4">
        <f t="shared" si="1"/>
        <v>27</v>
      </c>
      <c r="U63" s="4">
        <f t="shared" si="2"/>
        <v>12</v>
      </c>
      <c r="V63" s="3"/>
      <c r="X63" s="2">
        <v>-1</v>
      </c>
      <c r="Y63" s="22">
        <v>1</v>
      </c>
      <c r="Z63" s="22">
        <v>3</v>
      </c>
      <c r="AA63" s="22">
        <v>5</v>
      </c>
      <c r="AB63" s="3"/>
      <c r="AC63" s="2">
        <v>-1</v>
      </c>
      <c r="AD63" s="4">
        <v>5</v>
      </c>
      <c r="AE63" s="4"/>
      <c r="AF63" s="4"/>
      <c r="AG63" s="3"/>
      <c r="AI63" s="2"/>
      <c r="AJ63" s="4"/>
      <c r="AK63" s="4"/>
      <c r="AL63" s="4">
        <v>22</v>
      </c>
      <c r="AM63" s="4">
        <v>22</v>
      </c>
      <c r="AN63" s="3">
        <v>22</v>
      </c>
      <c r="AO63" s="2">
        <v>22</v>
      </c>
      <c r="AP63" s="4"/>
      <c r="AQ63" s="4"/>
      <c r="AR63" s="4"/>
      <c r="AS63" s="4">
        <v>110</v>
      </c>
      <c r="AT63" s="4">
        <v>110</v>
      </c>
      <c r="AU63" s="3">
        <v>110</v>
      </c>
      <c r="AV63" s="221">
        <v>22</v>
      </c>
    </row>
    <row r="64" spans="1:48" x14ac:dyDescent="0.25">
      <c r="A64" t="s">
        <v>72</v>
      </c>
      <c r="B64" t="s">
        <v>101</v>
      </c>
      <c r="C64" s="99">
        <v>2</v>
      </c>
      <c r="D64" s="13">
        <v>0</v>
      </c>
      <c r="E64">
        <v>2</v>
      </c>
      <c r="F64" t="s">
        <v>327</v>
      </c>
      <c r="G64" s="13"/>
      <c r="H64" t="s">
        <v>328</v>
      </c>
      <c r="I64" s="99">
        <v>-1</v>
      </c>
      <c r="J64">
        <v>0</v>
      </c>
      <c r="K64">
        <v>30</v>
      </c>
      <c r="M64" s="2">
        <v>15</v>
      </c>
      <c r="N64" s="4">
        <v>17</v>
      </c>
      <c r="O64" s="4">
        <v>22</v>
      </c>
      <c r="P64" s="18">
        <v>27</v>
      </c>
      <c r="Q64" s="3"/>
      <c r="R64" s="2">
        <v>15</v>
      </c>
      <c r="S64" s="4">
        <f t="shared" si="0"/>
        <v>36</v>
      </c>
      <c r="T64" s="4">
        <f t="shared" si="1"/>
        <v>30</v>
      </c>
      <c r="U64" s="4">
        <f t="shared" si="2"/>
        <v>15</v>
      </c>
      <c r="V64" s="3">
        <v>0</v>
      </c>
      <c r="X64" s="21" t="s">
        <v>47</v>
      </c>
      <c r="Y64" s="22">
        <v>2</v>
      </c>
      <c r="Z64" s="22">
        <v>4</v>
      </c>
      <c r="AA64" s="22">
        <v>6</v>
      </c>
      <c r="AB64" s="3"/>
      <c r="AC64" s="21" t="s">
        <v>47</v>
      </c>
      <c r="AD64" s="4">
        <v>10</v>
      </c>
      <c r="AE64" s="4">
        <v>0</v>
      </c>
      <c r="AF64" s="4"/>
      <c r="AG64" s="3"/>
      <c r="AI64" s="2"/>
      <c r="AJ64" s="4"/>
      <c r="AK64" s="4"/>
      <c r="AL64" s="4">
        <v>23</v>
      </c>
      <c r="AM64" s="4">
        <v>23</v>
      </c>
      <c r="AN64" s="3">
        <v>23</v>
      </c>
      <c r="AO64" s="2">
        <v>23</v>
      </c>
      <c r="AP64" s="4"/>
      <c r="AQ64" s="4"/>
      <c r="AR64" s="4"/>
      <c r="AS64" s="4">
        <v>115</v>
      </c>
      <c r="AT64" s="4">
        <v>115</v>
      </c>
      <c r="AU64" s="3">
        <v>115</v>
      </c>
      <c r="AV64" s="221">
        <v>23</v>
      </c>
    </row>
    <row r="65" spans="1:48" x14ac:dyDescent="0.25">
      <c r="A65" t="s">
        <v>74</v>
      </c>
      <c r="B65" t="s">
        <v>101</v>
      </c>
      <c r="C65" s="99">
        <v>2</v>
      </c>
      <c r="D65" s="99">
        <v>1</v>
      </c>
      <c r="E65">
        <v>2</v>
      </c>
      <c r="F65" t="s">
        <v>327</v>
      </c>
      <c r="G65" s="13"/>
      <c r="H65" t="s">
        <v>328</v>
      </c>
      <c r="I65" s="99">
        <v>4</v>
      </c>
      <c r="J65">
        <v>0</v>
      </c>
      <c r="K65">
        <v>40</v>
      </c>
      <c r="M65" s="2">
        <v>16</v>
      </c>
      <c r="N65" s="4">
        <v>18</v>
      </c>
      <c r="O65" s="4">
        <v>23</v>
      </c>
      <c r="P65" s="18">
        <v>28</v>
      </c>
      <c r="Q65" s="3"/>
      <c r="R65" s="2">
        <v>16</v>
      </c>
      <c r="S65" s="4">
        <f t="shared" si="0"/>
        <v>39</v>
      </c>
      <c r="T65" s="4">
        <f t="shared" si="1"/>
        <v>33</v>
      </c>
      <c r="U65" s="4">
        <f t="shared" si="2"/>
        <v>18</v>
      </c>
      <c r="V65" s="3">
        <f>V64+3</f>
        <v>3</v>
      </c>
      <c r="X65" s="2"/>
      <c r="Y65" s="4"/>
      <c r="Z65" s="4"/>
      <c r="AA65" s="4"/>
      <c r="AB65" s="3"/>
      <c r="AC65" s="16">
        <v>1</v>
      </c>
      <c r="AD65" s="4"/>
      <c r="AE65" s="4">
        <v>5</v>
      </c>
      <c r="AF65" s="4"/>
      <c r="AG65" s="3"/>
      <c r="AI65" s="2"/>
      <c r="AJ65" s="4"/>
      <c r="AK65" s="4"/>
      <c r="AL65" s="4">
        <v>24</v>
      </c>
      <c r="AM65" s="4">
        <v>24</v>
      </c>
      <c r="AN65" s="3">
        <v>24</v>
      </c>
      <c r="AO65" s="2">
        <v>24</v>
      </c>
      <c r="AP65" s="4"/>
      <c r="AQ65" s="4"/>
      <c r="AR65" s="4"/>
      <c r="AS65" s="4">
        <v>120</v>
      </c>
      <c r="AT65" s="4">
        <v>120</v>
      </c>
      <c r="AU65" s="3">
        <v>120</v>
      </c>
      <c r="AV65" s="221">
        <v>24</v>
      </c>
    </row>
    <row r="66" spans="1:48" x14ac:dyDescent="0.25">
      <c r="A66" t="s">
        <v>6</v>
      </c>
      <c r="B66" t="s">
        <v>1</v>
      </c>
      <c r="C66" s="99">
        <v>1</v>
      </c>
      <c r="D66" s="13">
        <v>0</v>
      </c>
      <c r="E66">
        <v>3</v>
      </c>
      <c r="F66" t="s">
        <v>327</v>
      </c>
      <c r="G66" s="13"/>
      <c r="H66" t="s">
        <v>328</v>
      </c>
      <c r="I66" s="99">
        <v>-1</v>
      </c>
      <c r="J66">
        <v>0</v>
      </c>
      <c r="K66">
        <v>40</v>
      </c>
      <c r="M66" s="2">
        <v>17</v>
      </c>
      <c r="N66" s="4">
        <v>19</v>
      </c>
      <c r="O66" s="4">
        <v>24</v>
      </c>
      <c r="P66" s="18">
        <v>29</v>
      </c>
      <c r="Q66" s="3"/>
      <c r="R66" s="19">
        <v>17</v>
      </c>
      <c r="S66" s="4">
        <f t="shared" si="0"/>
        <v>42</v>
      </c>
      <c r="T66" s="4">
        <f t="shared" si="1"/>
        <v>36</v>
      </c>
      <c r="U66" s="4">
        <f t="shared" si="2"/>
        <v>21</v>
      </c>
      <c r="V66" s="3">
        <f t="shared" ref="V66:V129" si="3">V65+3</f>
        <v>6</v>
      </c>
      <c r="X66" s="2"/>
      <c r="Y66" s="4"/>
      <c r="Z66" s="4"/>
      <c r="AA66" s="4"/>
      <c r="AB66" s="3"/>
      <c r="AC66" s="16">
        <v>2</v>
      </c>
      <c r="AD66" s="4"/>
      <c r="AE66" s="4">
        <v>10</v>
      </c>
      <c r="AF66" s="4">
        <v>0</v>
      </c>
      <c r="AG66" s="3"/>
      <c r="AI66" s="2"/>
      <c r="AJ66" s="4"/>
      <c r="AK66" s="4"/>
      <c r="AL66" s="4">
        <v>25</v>
      </c>
      <c r="AM66" s="4">
        <v>25</v>
      </c>
      <c r="AN66" s="3">
        <v>25</v>
      </c>
      <c r="AO66" s="2">
        <v>25</v>
      </c>
      <c r="AP66" s="4"/>
      <c r="AQ66" s="4"/>
      <c r="AR66" s="4"/>
      <c r="AS66" s="4">
        <v>125</v>
      </c>
      <c r="AT66" s="4">
        <v>125</v>
      </c>
      <c r="AU66" s="3">
        <v>125</v>
      </c>
      <c r="AV66" s="221">
        <v>25</v>
      </c>
    </row>
    <row r="67" spans="1:48" x14ac:dyDescent="0.25">
      <c r="A67" t="s">
        <v>386</v>
      </c>
      <c r="B67" t="s">
        <v>1</v>
      </c>
      <c r="C67" s="99">
        <v>1</v>
      </c>
      <c r="D67" s="13">
        <v>1</v>
      </c>
      <c r="E67">
        <v>3</v>
      </c>
      <c r="F67" s="99" t="s">
        <v>327</v>
      </c>
      <c r="G67" s="13"/>
      <c r="H67" s="99" t="s">
        <v>328</v>
      </c>
      <c r="I67" s="99">
        <v>-1</v>
      </c>
      <c r="J67" s="99">
        <v>0</v>
      </c>
      <c r="K67" s="99">
        <v>40</v>
      </c>
      <c r="M67" s="2">
        <v>18</v>
      </c>
      <c r="N67" s="4">
        <v>20</v>
      </c>
      <c r="O67" s="4">
        <v>25</v>
      </c>
      <c r="P67" s="18">
        <v>30</v>
      </c>
      <c r="Q67" s="3"/>
      <c r="R67" s="19">
        <v>18</v>
      </c>
      <c r="S67" s="4">
        <f t="shared" si="0"/>
        <v>45</v>
      </c>
      <c r="T67" s="4">
        <f t="shared" si="1"/>
        <v>39</v>
      </c>
      <c r="U67" s="4">
        <f t="shared" si="2"/>
        <v>24</v>
      </c>
      <c r="V67" s="3">
        <f t="shared" si="3"/>
        <v>9</v>
      </c>
      <c r="X67" s="2"/>
      <c r="Y67" s="4"/>
      <c r="Z67" s="4"/>
      <c r="AA67" s="4"/>
      <c r="AB67" s="3"/>
      <c r="AC67" s="16">
        <v>3</v>
      </c>
      <c r="AD67" s="4"/>
      <c r="AE67" s="4"/>
      <c r="AF67" s="4">
        <v>5</v>
      </c>
      <c r="AG67" s="3"/>
      <c r="AI67" s="2"/>
      <c r="AJ67" s="4"/>
      <c r="AK67" s="4"/>
      <c r="AL67" s="4">
        <v>26</v>
      </c>
      <c r="AM67" s="4">
        <v>26</v>
      </c>
      <c r="AN67" s="3">
        <v>26</v>
      </c>
      <c r="AO67" s="2">
        <v>26</v>
      </c>
      <c r="AP67" s="4"/>
      <c r="AQ67" s="4"/>
      <c r="AR67" s="4"/>
      <c r="AS67" s="4">
        <v>130</v>
      </c>
      <c r="AT67" s="4">
        <v>130</v>
      </c>
      <c r="AU67" s="3">
        <v>130</v>
      </c>
      <c r="AV67" s="221">
        <v>26</v>
      </c>
    </row>
    <row r="68" spans="1:48" x14ac:dyDescent="0.25">
      <c r="A68" t="s">
        <v>7</v>
      </c>
      <c r="B68" t="s">
        <v>1</v>
      </c>
      <c r="C68" s="99">
        <v>1</v>
      </c>
      <c r="D68" s="13">
        <v>1</v>
      </c>
      <c r="E68">
        <v>3</v>
      </c>
      <c r="F68" t="s">
        <v>327</v>
      </c>
      <c r="G68" s="13"/>
      <c r="H68" t="s">
        <v>328</v>
      </c>
      <c r="I68" s="99">
        <v>-2</v>
      </c>
      <c r="J68">
        <v>0</v>
      </c>
      <c r="K68">
        <v>40</v>
      </c>
      <c r="M68" s="2">
        <v>19</v>
      </c>
      <c r="N68" s="4">
        <v>21</v>
      </c>
      <c r="O68" s="4">
        <v>26</v>
      </c>
      <c r="P68" s="18">
        <v>31</v>
      </c>
      <c r="Q68" s="3"/>
      <c r="R68" s="19">
        <v>19</v>
      </c>
      <c r="S68" s="4">
        <f t="shared" si="0"/>
        <v>48</v>
      </c>
      <c r="T68" s="4">
        <f t="shared" si="1"/>
        <v>42</v>
      </c>
      <c r="U68" s="4">
        <f t="shared" si="2"/>
        <v>27</v>
      </c>
      <c r="V68" s="3">
        <f t="shared" si="3"/>
        <v>12</v>
      </c>
      <c r="X68" s="2"/>
      <c r="Y68" s="4"/>
      <c r="Z68" s="4"/>
      <c r="AA68" s="4"/>
      <c r="AB68" s="3"/>
      <c r="AC68" s="16">
        <v>4</v>
      </c>
      <c r="AD68" s="4"/>
      <c r="AE68" s="4"/>
      <c r="AF68" s="4">
        <v>10</v>
      </c>
      <c r="AG68" s="3">
        <v>0</v>
      </c>
      <c r="AI68" s="2"/>
      <c r="AJ68" s="4"/>
      <c r="AK68" s="4"/>
      <c r="AL68" s="4">
        <v>27</v>
      </c>
      <c r="AM68" s="4">
        <v>27</v>
      </c>
      <c r="AN68" s="3">
        <v>27</v>
      </c>
      <c r="AO68" s="2">
        <v>27</v>
      </c>
      <c r="AP68" s="4"/>
      <c r="AQ68" s="4"/>
      <c r="AR68" s="4"/>
      <c r="AS68" s="4">
        <v>135</v>
      </c>
      <c r="AT68" s="4">
        <v>135</v>
      </c>
      <c r="AU68" s="3">
        <v>135</v>
      </c>
      <c r="AV68" s="221">
        <v>27</v>
      </c>
    </row>
    <row r="69" spans="1:48" x14ac:dyDescent="0.25">
      <c r="A69" t="s">
        <v>75</v>
      </c>
      <c r="B69" t="s">
        <v>1</v>
      </c>
      <c r="C69" s="99">
        <v>1</v>
      </c>
      <c r="D69" s="13">
        <v>2</v>
      </c>
      <c r="E69">
        <v>3</v>
      </c>
      <c r="F69" t="s">
        <v>327</v>
      </c>
      <c r="G69" s="13"/>
      <c r="H69" t="s">
        <v>328</v>
      </c>
      <c r="I69" s="99">
        <v>-2</v>
      </c>
      <c r="J69">
        <v>0</v>
      </c>
      <c r="K69">
        <v>45</v>
      </c>
      <c r="M69" s="2">
        <v>20</v>
      </c>
      <c r="N69" s="4">
        <v>22</v>
      </c>
      <c r="O69" s="4">
        <v>27</v>
      </c>
      <c r="P69" s="18">
        <v>32</v>
      </c>
      <c r="Q69" s="3"/>
      <c r="R69" s="19">
        <v>20</v>
      </c>
      <c r="S69" s="4">
        <f t="shared" si="0"/>
        <v>51</v>
      </c>
      <c r="T69" s="4">
        <f t="shared" si="1"/>
        <v>45</v>
      </c>
      <c r="U69" s="4">
        <f t="shared" si="2"/>
        <v>30</v>
      </c>
      <c r="V69" s="3">
        <f t="shared" si="3"/>
        <v>15</v>
      </c>
      <c r="X69" s="2"/>
      <c r="Y69" s="4"/>
      <c r="Z69" s="4"/>
      <c r="AA69" s="4"/>
      <c r="AB69" s="3"/>
      <c r="AC69" s="16">
        <v>5</v>
      </c>
      <c r="AD69" s="4"/>
      <c r="AE69" s="4"/>
      <c r="AF69" s="4"/>
      <c r="AG69" s="3">
        <v>5</v>
      </c>
      <c r="AI69" s="2"/>
      <c r="AJ69" s="4"/>
      <c r="AK69" s="4"/>
      <c r="AL69" s="4">
        <v>28</v>
      </c>
      <c r="AM69" s="4">
        <v>28</v>
      </c>
      <c r="AN69" s="3">
        <v>28</v>
      </c>
      <c r="AO69" s="2">
        <v>28</v>
      </c>
      <c r="AP69" s="4"/>
      <c r="AQ69" s="4"/>
      <c r="AR69" s="4"/>
      <c r="AS69" s="4">
        <v>140</v>
      </c>
      <c r="AT69" s="4">
        <v>140</v>
      </c>
      <c r="AU69" s="3">
        <v>140</v>
      </c>
      <c r="AV69" s="221">
        <v>28</v>
      </c>
    </row>
    <row r="70" spans="1:48" x14ac:dyDescent="0.25">
      <c r="A70" t="s">
        <v>76</v>
      </c>
      <c r="B70" t="s">
        <v>1</v>
      </c>
      <c r="C70" s="99">
        <v>1</v>
      </c>
      <c r="D70" s="13">
        <v>2</v>
      </c>
      <c r="E70">
        <v>3</v>
      </c>
      <c r="F70" t="s">
        <v>327</v>
      </c>
      <c r="G70" s="13"/>
      <c r="H70" t="s">
        <v>328</v>
      </c>
      <c r="I70" s="99">
        <v>-3</v>
      </c>
      <c r="J70">
        <v>0</v>
      </c>
      <c r="K70">
        <v>45</v>
      </c>
      <c r="M70" s="2">
        <v>21</v>
      </c>
      <c r="N70" s="4">
        <v>23</v>
      </c>
      <c r="O70" s="4">
        <v>28</v>
      </c>
      <c r="P70" s="18">
        <v>33</v>
      </c>
      <c r="Q70" s="3"/>
      <c r="R70" s="19">
        <v>21</v>
      </c>
      <c r="S70" s="4">
        <f t="shared" si="0"/>
        <v>54</v>
      </c>
      <c r="T70" s="4">
        <f t="shared" si="1"/>
        <v>48</v>
      </c>
      <c r="U70" s="4">
        <f t="shared" si="2"/>
        <v>33</v>
      </c>
      <c r="V70" s="3">
        <f t="shared" si="3"/>
        <v>18</v>
      </c>
      <c r="X70" s="5"/>
      <c r="Y70" s="14"/>
      <c r="Z70" s="14"/>
      <c r="AA70" s="14"/>
      <c r="AB70" s="15"/>
      <c r="AC70" s="17">
        <v>6</v>
      </c>
      <c r="AD70" s="14"/>
      <c r="AE70" s="14"/>
      <c r="AF70" s="14"/>
      <c r="AG70" s="15">
        <v>10</v>
      </c>
      <c r="AI70" s="2"/>
      <c r="AJ70" s="4"/>
      <c r="AK70" s="4"/>
      <c r="AL70" s="4">
        <v>29</v>
      </c>
      <c r="AM70" s="4">
        <v>29</v>
      </c>
      <c r="AN70" s="3">
        <v>29</v>
      </c>
      <c r="AO70" s="2">
        <v>29</v>
      </c>
      <c r="AP70" s="4"/>
      <c r="AQ70" s="4"/>
      <c r="AR70" s="4"/>
      <c r="AS70" s="4">
        <v>145</v>
      </c>
      <c r="AT70" s="4">
        <v>145</v>
      </c>
      <c r="AU70" s="3">
        <v>145</v>
      </c>
      <c r="AV70" s="221">
        <v>29</v>
      </c>
    </row>
    <row r="71" spans="1:48" x14ac:dyDescent="0.25">
      <c r="A71" t="s">
        <v>77</v>
      </c>
      <c r="B71" t="s">
        <v>1</v>
      </c>
      <c r="C71" s="99">
        <v>1</v>
      </c>
      <c r="D71" s="13">
        <v>2</v>
      </c>
      <c r="E71">
        <v>2</v>
      </c>
      <c r="F71" t="s">
        <v>327</v>
      </c>
      <c r="G71" s="13">
        <v>1</v>
      </c>
      <c r="H71" t="s">
        <v>328</v>
      </c>
      <c r="I71" s="99">
        <v>-4</v>
      </c>
      <c r="J71">
        <v>0</v>
      </c>
      <c r="K71">
        <v>50</v>
      </c>
      <c r="M71" s="2">
        <v>22</v>
      </c>
      <c r="N71" s="4">
        <v>24</v>
      </c>
      <c r="O71" s="4">
        <v>29</v>
      </c>
      <c r="P71" s="18">
        <v>34</v>
      </c>
      <c r="Q71" s="3"/>
      <c r="R71" s="19">
        <v>22</v>
      </c>
      <c r="S71" s="4">
        <f t="shared" si="0"/>
        <v>57</v>
      </c>
      <c r="T71" s="4">
        <f t="shared" si="1"/>
        <v>51</v>
      </c>
      <c r="U71" s="4">
        <f t="shared" si="2"/>
        <v>36</v>
      </c>
      <c r="V71" s="3">
        <f t="shared" si="3"/>
        <v>21</v>
      </c>
      <c r="AI71" s="2"/>
      <c r="AJ71" s="4"/>
      <c r="AK71" s="4"/>
      <c r="AL71" s="4">
        <v>30</v>
      </c>
      <c r="AM71" s="4">
        <v>30</v>
      </c>
      <c r="AN71" s="3">
        <v>30</v>
      </c>
      <c r="AO71" s="2">
        <v>30</v>
      </c>
      <c r="AP71" s="4"/>
      <c r="AQ71" s="4"/>
      <c r="AR71" s="4"/>
      <c r="AS71" s="4">
        <v>150</v>
      </c>
      <c r="AT71" s="4">
        <v>150</v>
      </c>
      <c r="AU71" s="3">
        <v>150</v>
      </c>
      <c r="AV71" s="221">
        <v>30</v>
      </c>
    </row>
    <row r="72" spans="1:48" x14ac:dyDescent="0.25">
      <c r="A72" s="32" t="s">
        <v>105</v>
      </c>
      <c r="D72" s="13"/>
      <c r="I72" s="13"/>
      <c r="M72" s="2">
        <v>23</v>
      </c>
      <c r="N72" s="4">
        <v>25</v>
      </c>
      <c r="O72" s="4">
        <v>30</v>
      </c>
      <c r="P72" s="18">
        <v>35</v>
      </c>
      <c r="Q72" s="3"/>
      <c r="R72" s="19">
        <v>23</v>
      </c>
      <c r="S72" s="4">
        <f t="shared" si="0"/>
        <v>60</v>
      </c>
      <c r="T72" s="4">
        <f t="shared" si="1"/>
        <v>54</v>
      </c>
      <c r="U72" s="4">
        <f t="shared" si="2"/>
        <v>39</v>
      </c>
      <c r="V72" s="3">
        <f t="shared" si="3"/>
        <v>24</v>
      </c>
      <c r="AI72" s="2"/>
      <c r="AJ72" s="4"/>
      <c r="AK72" s="4"/>
      <c r="AL72" s="4"/>
      <c r="AM72" s="4">
        <v>31</v>
      </c>
      <c r="AN72" s="3">
        <v>31</v>
      </c>
      <c r="AO72" s="2">
        <v>31</v>
      </c>
      <c r="AP72" s="4"/>
      <c r="AQ72" s="4"/>
      <c r="AR72" s="4"/>
      <c r="AS72" s="4"/>
      <c r="AT72" s="4">
        <v>155</v>
      </c>
      <c r="AU72" s="3">
        <v>155</v>
      </c>
      <c r="AV72" s="221">
        <v>31</v>
      </c>
    </row>
    <row r="73" spans="1:48" ht="15.75" x14ac:dyDescent="0.25">
      <c r="A73" t="s">
        <v>80</v>
      </c>
      <c r="B73" t="s">
        <v>101</v>
      </c>
      <c r="C73" s="99">
        <v>1</v>
      </c>
      <c r="D73" s="13">
        <v>1</v>
      </c>
      <c r="E73">
        <v>2</v>
      </c>
      <c r="F73" t="s">
        <v>327</v>
      </c>
      <c r="G73" s="13"/>
      <c r="H73" t="s">
        <v>328</v>
      </c>
      <c r="I73" s="13">
        <v>3</v>
      </c>
      <c r="J73">
        <v>0</v>
      </c>
      <c r="K73">
        <v>25</v>
      </c>
      <c r="M73" s="2">
        <v>24</v>
      </c>
      <c r="N73" s="57">
        <v>26</v>
      </c>
      <c r="O73" s="4">
        <v>31</v>
      </c>
      <c r="P73" s="18">
        <v>36</v>
      </c>
      <c r="Q73" s="3"/>
      <c r="R73" s="19">
        <v>24</v>
      </c>
      <c r="S73" s="4">
        <f t="shared" si="0"/>
        <v>63</v>
      </c>
      <c r="T73" s="4">
        <f t="shared" si="1"/>
        <v>57</v>
      </c>
      <c r="U73" s="4">
        <f t="shared" si="2"/>
        <v>42</v>
      </c>
      <c r="V73" s="3">
        <f t="shared" si="3"/>
        <v>27</v>
      </c>
      <c r="X73" s="31" t="s">
        <v>58</v>
      </c>
      <c r="Y73" s="10"/>
      <c r="Z73" s="10"/>
      <c r="AA73" s="10"/>
      <c r="AB73" s="1"/>
      <c r="AC73" s="31" t="s">
        <v>59</v>
      </c>
      <c r="AD73" s="10"/>
      <c r="AE73" s="10"/>
      <c r="AF73" s="10"/>
      <c r="AG73" s="1"/>
      <c r="AI73" s="2"/>
      <c r="AJ73" s="4"/>
      <c r="AK73" s="4"/>
      <c r="AL73" s="4"/>
      <c r="AM73" s="4">
        <v>32</v>
      </c>
      <c r="AN73" s="3">
        <v>32</v>
      </c>
      <c r="AO73" s="2">
        <v>32</v>
      </c>
      <c r="AP73" s="4"/>
      <c r="AQ73" s="4"/>
      <c r="AR73" s="4"/>
      <c r="AS73" s="4"/>
      <c r="AT73" s="4">
        <v>160</v>
      </c>
      <c r="AU73" s="3">
        <v>160</v>
      </c>
      <c r="AV73" s="222">
        <v>32</v>
      </c>
    </row>
    <row r="74" spans="1:48" x14ac:dyDescent="0.25">
      <c r="A74" t="s">
        <v>81</v>
      </c>
      <c r="B74" t="s">
        <v>1</v>
      </c>
      <c r="C74" s="99">
        <v>1</v>
      </c>
      <c r="D74" s="13">
        <v>0</v>
      </c>
      <c r="E74">
        <v>2</v>
      </c>
      <c r="F74" t="s">
        <v>327</v>
      </c>
      <c r="G74" s="13"/>
      <c r="H74" t="s">
        <v>328</v>
      </c>
      <c r="I74" s="13">
        <v>-2</v>
      </c>
      <c r="J74">
        <v>0</v>
      </c>
      <c r="K74">
        <v>20</v>
      </c>
      <c r="M74" s="2">
        <v>25</v>
      </c>
      <c r="N74" s="57">
        <v>27</v>
      </c>
      <c r="O74" s="4">
        <v>32</v>
      </c>
      <c r="P74" s="18">
        <v>37</v>
      </c>
      <c r="Q74" s="3"/>
      <c r="R74" s="19">
        <v>25</v>
      </c>
      <c r="S74" s="4">
        <f t="shared" si="0"/>
        <v>66</v>
      </c>
      <c r="T74" s="4">
        <f t="shared" si="1"/>
        <v>60</v>
      </c>
      <c r="U74" s="4">
        <f t="shared" si="2"/>
        <v>45</v>
      </c>
      <c r="V74" s="3">
        <f t="shared" si="3"/>
        <v>30</v>
      </c>
      <c r="X74" s="2" t="s">
        <v>36</v>
      </c>
      <c r="Y74" s="4" t="s">
        <v>37</v>
      </c>
      <c r="Z74" s="4" t="s">
        <v>38</v>
      </c>
      <c r="AA74" s="4" t="s">
        <v>39</v>
      </c>
      <c r="AB74" s="3"/>
      <c r="AC74" s="2" t="s">
        <v>58</v>
      </c>
      <c r="AD74" s="4" t="s">
        <v>36</v>
      </c>
      <c r="AE74" s="4" t="s">
        <v>37</v>
      </c>
      <c r="AF74" s="4" t="s">
        <v>38</v>
      </c>
      <c r="AG74" s="3" t="s">
        <v>39</v>
      </c>
      <c r="AI74" s="2"/>
      <c r="AJ74" s="4"/>
      <c r="AK74" s="4"/>
      <c r="AL74" s="4"/>
      <c r="AM74" s="4">
        <v>33</v>
      </c>
      <c r="AN74" s="3">
        <v>33</v>
      </c>
      <c r="AO74" s="2">
        <v>33</v>
      </c>
      <c r="AP74" s="4"/>
      <c r="AQ74" s="4"/>
      <c r="AR74" s="4"/>
      <c r="AS74" s="4"/>
      <c r="AT74" s="4">
        <v>165</v>
      </c>
      <c r="AU74" s="3">
        <v>165</v>
      </c>
    </row>
    <row r="75" spans="1:48" x14ac:dyDescent="0.25">
      <c r="A75" t="s">
        <v>466</v>
      </c>
      <c r="B75" t="s">
        <v>1</v>
      </c>
      <c r="C75" s="99">
        <v>1</v>
      </c>
      <c r="D75" s="13">
        <v>2</v>
      </c>
      <c r="E75">
        <v>2</v>
      </c>
      <c r="F75" t="s">
        <v>327</v>
      </c>
      <c r="H75" t="s">
        <v>328</v>
      </c>
      <c r="I75" s="13">
        <v>-2</v>
      </c>
      <c r="J75">
        <v>0</v>
      </c>
      <c r="K75">
        <v>25</v>
      </c>
      <c r="M75" s="2">
        <v>26</v>
      </c>
      <c r="N75" s="57">
        <v>28</v>
      </c>
      <c r="O75" s="4">
        <v>33</v>
      </c>
      <c r="P75" s="18">
        <v>38</v>
      </c>
      <c r="Q75" s="3"/>
      <c r="R75" s="19">
        <v>26</v>
      </c>
      <c r="S75" s="4">
        <f t="shared" si="0"/>
        <v>69</v>
      </c>
      <c r="T75" s="4">
        <f t="shared" si="1"/>
        <v>63</v>
      </c>
      <c r="U75" s="4">
        <f t="shared" si="2"/>
        <v>48</v>
      </c>
      <c r="V75" s="3">
        <f t="shared" si="3"/>
        <v>33</v>
      </c>
      <c r="X75" s="21" t="s">
        <v>47</v>
      </c>
      <c r="Y75" s="20" t="s">
        <v>47</v>
      </c>
      <c r="Z75" s="4">
        <v>-1</v>
      </c>
      <c r="AA75" s="4">
        <v>-2</v>
      </c>
      <c r="AB75" s="3"/>
      <c r="AC75" s="2">
        <v>-2</v>
      </c>
      <c r="AD75" s="4"/>
      <c r="AE75" s="4"/>
      <c r="AF75" s="4"/>
      <c r="AG75" s="3">
        <v>0</v>
      </c>
      <c r="AI75" s="2"/>
      <c r="AJ75" s="4"/>
      <c r="AK75" s="4"/>
      <c r="AL75" s="4"/>
      <c r="AM75" s="4">
        <v>34</v>
      </c>
      <c r="AN75" s="3">
        <v>34</v>
      </c>
      <c r="AO75" s="2">
        <v>34</v>
      </c>
      <c r="AP75" s="4"/>
      <c r="AQ75" s="4"/>
      <c r="AR75" s="4"/>
      <c r="AS75" s="4"/>
      <c r="AT75" s="4">
        <v>170</v>
      </c>
      <c r="AU75" s="3">
        <v>170</v>
      </c>
    </row>
    <row r="76" spans="1:48" x14ac:dyDescent="0.25">
      <c r="A76" t="s">
        <v>82</v>
      </c>
      <c r="B76" t="s">
        <v>1</v>
      </c>
      <c r="C76" s="99">
        <v>1</v>
      </c>
      <c r="D76" s="13">
        <v>1</v>
      </c>
      <c r="E76">
        <v>2</v>
      </c>
      <c r="F76" t="s">
        <v>327</v>
      </c>
      <c r="G76" s="13"/>
      <c r="H76" t="s">
        <v>328</v>
      </c>
      <c r="I76" s="13"/>
      <c r="J76">
        <v>0</v>
      </c>
      <c r="K76">
        <v>30</v>
      </c>
      <c r="M76" s="2">
        <v>27</v>
      </c>
      <c r="N76" s="57">
        <v>29</v>
      </c>
      <c r="O76" s="4">
        <v>34</v>
      </c>
      <c r="P76" s="18">
        <v>39</v>
      </c>
      <c r="Q76" s="3"/>
      <c r="R76" s="19">
        <v>27</v>
      </c>
      <c r="S76" s="4">
        <f t="shared" si="0"/>
        <v>72</v>
      </c>
      <c r="T76" s="4">
        <f t="shared" si="1"/>
        <v>66</v>
      </c>
      <c r="U76" s="4">
        <f t="shared" si="2"/>
        <v>51</v>
      </c>
      <c r="V76" s="3">
        <f t="shared" si="3"/>
        <v>36</v>
      </c>
      <c r="X76" s="16">
        <v>1</v>
      </c>
      <c r="Y76" s="22">
        <v>1</v>
      </c>
      <c r="Z76" s="20" t="s">
        <v>47</v>
      </c>
      <c r="AA76" s="4">
        <v>-1</v>
      </c>
      <c r="AB76" s="3"/>
      <c r="AC76" s="2">
        <v>-1</v>
      </c>
      <c r="AD76" s="4"/>
      <c r="AE76" s="4"/>
      <c r="AF76" s="4">
        <v>0</v>
      </c>
      <c r="AG76" s="3">
        <v>5</v>
      </c>
      <c r="AI76" s="2"/>
      <c r="AJ76" s="4"/>
      <c r="AK76" s="4"/>
      <c r="AL76" s="4"/>
      <c r="AM76" s="4">
        <v>35</v>
      </c>
      <c r="AN76" s="3">
        <v>35</v>
      </c>
      <c r="AO76" s="2">
        <v>35</v>
      </c>
      <c r="AP76" s="4"/>
      <c r="AQ76" s="4"/>
      <c r="AR76" s="4"/>
      <c r="AS76" s="4"/>
      <c r="AT76" s="4">
        <v>175</v>
      </c>
      <c r="AU76" s="3">
        <v>175</v>
      </c>
    </row>
    <row r="77" spans="1:48" x14ac:dyDescent="0.25">
      <c r="A77" t="s">
        <v>83</v>
      </c>
      <c r="B77" t="s">
        <v>1</v>
      </c>
      <c r="C77" s="99">
        <v>1</v>
      </c>
      <c r="D77" s="13">
        <v>1</v>
      </c>
      <c r="E77">
        <v>3</v>
      </c>
      <c r="F77" t="s">
        <v>327</v>
      </c>
      <c r="G77" s="13"/>
      <c r="H77" t="s">
        <v>328</v>
      </c>
      <c r="I77" s="13">
        <v>-3</v>
      </c>
      <c r="J77">
        <v>0</v>
      </c>
      <c r="K77">
        <v>40</v>
      </c>
      <c r="M77" s="2">
        <v>28</v>
      </c>
      <c r="N77" s="57">
        <v>30</v>
      </c>
      <c r="O77" s="4">
        <v>35</v>
      </c>
      <c r="P77" s="18">
        <v>40</v>
      </c>
      <c r="Q77" s="3"/>
      <c r="R77" s="19">
        <v>28</v>
      </c>
      <c r="S77" s="4">
        <f t="shared" si="0"/>
        <v>75</v>
      </c>
      <c r="T77" s="4">
        <f t="shared" si="1"/>
        <v>69</v>
      </c>
      <c r="U77" s="4">
        <f t="shared" si="2"/>
        <v>54</v>
      </c>
      <c r="V77" s="3">
        <f t="shared" si="3"/>
        <v>39</v>
      </c>
      <c r="X77" s="16">
        <v>2</v>
      </c>
      <c r="Y77" s="22">
        <v>2</v>
      </c>
      <c r="Z77" s="22">
        <v>1</v>
      </c>
      <c r="AA77" s="20" t="s">
        <v>47</v>
      </c>
      <c r="AB77" s="3"/>
      <c r="AC77" s="21" t="s">
        <v>47</v>
      </c>
      <c r="AD77" s="4">
        <v>0</v>
      </c>
      <c r="AE77" s="4">
        <v>0</v>
      </c>
      <c r="AF77" s="4">
        <v>5</v>
      </c>
      <c r="AG77" s="3">
        <v>10</v>
      </c>
      <c r="AI77" s="2"/>
      <c r="AJ77" s="4"/>
      <c r="AK77" s="4"/>
      <c r="AL77" s="4"/>
      <c r="AM77" s="4">
        <v>36</v>
      </c>
      <c r="AN77" s="3">
        <v>36</v>
      </c>
      <c r="AO77" s="2">
        <v>36</v>
      </c>
      <c r="AP77" s="4"/>
      <c r="AQ77" s="4"/>
      <c r="AR77" s="4"/>
      <c r="AS77" s="4"/>
      <c r="AT77" s="4">
        <v>180</v>
      </c>
      <c r="AU77" s="3">
        <v>180</v>
      </c>
    </row>
    <row r="78" spans="1:48" x14ac:dyDescent="0.25">
      <c r="A78" t="s">
        <v>84</v>
      </c>
      <c r="B78" t="s">
        <v>1</v>
      </c>
      <c r="C78" s="99">
        <v>1</v>
      </c>
      <c r="D78" s="13">
        <v>2</v>
      </c>
      <c r="E78">
        <v>2</v>
      </c>
      <c r="F78" t="s">
        <v>327</v>
      </c>
      <c r="G78" s="13">
        <v>1</v>
      </c>
      <c r="H78" t="s">
        <v>328</v>
      </c>
      <c r="I78" s="13">
        <v>-3</v>
      </c>
      <c r="J78">
        <v>0</v>
      </c>
      <c r="K78">
        <v>55</v>
      </c>
      <c r="M78" s="2">
        <v>29</v>
      </c>
      <c r="N78" s="57">
        <v>31</v>
      </c>
      <c r="O78" s="4">
        <v>36</v>
      </c>
      <c r="P78" s="18">
        <v>41</v>
      </c>
      <c r="Q78" s="3"/>
      <c r="R78" s="19">
        <v>29</v>
      </c>
      <c r="S78" s="4">
        <f t="shared" si="0"/>
        <v>78</v>
      </c>
      <c r="T78" s="4">
        <f t="shared" si="1"/>
        <v>72</v>
      </c>
      <c r="U78" s="4">
        <f t="shared" si="2"/>
        <v>57</v>
      </c>
      <c r="V78" s="3">
        <f t="shared" si="3"/>
        <v>42</v>
      </c>
      <c r="X78" s="16">
        <v>3</v>
      </c>
      <c r="Y78" s="22">
        <v>3</v>
      </c>
      <c r="Z78" s="22">
        <v>2</v>
      </c>
      <c r="AA78" s="22">
        <v>1</v>
      </c>
      <c r="AB78" s="3"/>
      <c r="AC78" s="16">
        <v>1</v>
      </c>
      <c r="AD78" s="4">
        <v>5</v>
      </c>
      <c r="AE78" s="4">
        <v>5</v>
      </c>
      <c r="AF78" s="4">
        <v>10</v>
      </c>
      <c r="AG78" s="3">
        <v>15</v>
      </c>
      <c r="AI78" s="2"/>
      <c r="AJ78" s="4"/>
      <c r="AK78" s="4"/>
      <c r="AL78" s="4"/>
      <c r="AM78" s="4">
        <v>37</v>
      </c>
      <c r="AN78" s="3">
        <v>37</v>
      </c>
      <c r="AO78" s="2">
        <v>37</v>
      </c>
      <c r="AP78" s="4"/>
      <c r="AQ78" s="4"/>
      <c r="AR78" s="4"/>
      <c r="AS78" s="4"/>
      <c r="AT78" s="4">
        <v>185</v>
      </c>
      <c r="AU78" s="3">
        <v>185</v>
      </c>
    </row>
    <row r="79" spans="1:48" x14ac:dyDescent="0.25">
      <c r="A79" s="32" t="s">
        <v>106</v>
      </c>
      <c r="D79" s="13"/>
      <c r="I79" s="13"/>
      <c r="M79" s="2">
        <v>30</v>
      </c>
      <c r="N79" s="57">
        <v>32</v>
      </c>
      <c r="O79" s="4">
        <v>37</v>
      </c>
      <c r="P79" s="18">
        <v>42</v>
      </c>
      <c r="Q79" s="3"/>
      <c r="R79" s="19">
        <v>30</v>
      </c>
      <c r="S79" s="4">
        <f t="shared" si="0"/>
        <v>81</v>
      </c>
      <c r="T79" s="4">
        <f t="shared" si="1"/>
        <v>75</v>
      </c>
      <c r="U79" s="4">
        <f t="shared" si="2"/>
        <v>60</v>
      </c>
      <c r="V79" s="3">
        <f t="shared" si="3"/>
        <v>45</v>
      </c>
      <c r="X79" s="16">
        <v>4</v>
      </c>
      <c r="Y79" s="22">
        <v>4</v>
      </c>
      <c r="Z79" s="22">
        <v>3</v>
      </c>
      <c r="AA79" s="22">
        <v>2</v>
      </c>
      <c r="AB79" s="3"/>
      <c r="AC79" s="16">
        <v>2</v>
      </c>
      <c r="AD79" s="4">
        <v>10</v>
      </c>
      <c r="AE79" s="4">
        <v>10</v>
      </c>
      <c r="AF79" s="4">
        <v>15</v>
      </c>
      <c r="AG79" s="3">
        <v>20</v>
      </c>
      <c r="AI79" s="2"/>
      <c r="AJ79" s="4"/>
      <c r="AK79" s="4"/>
      <c r="AL79" s="4"/>
      <c r="AM79" s="4">
        <v>38</v>
      </c>
      <c r="AN79" s="3">
        <v>38</v>
      </c>
      <c r="AO79" s="2">
        <v>38</v>
      </c>
      <c r="AP79" s="4"/>
      <c r="AQ79" s="4"/>
      <c r="AR79" s="4"/>
      <c r="AS79" s="4"/>
      <c r="AT79" s="4">
        <v>190</v>
      </c>
      <c r="AU79" s="3">
        <v>190</v>
      </c>
    </row>
    <row r="80" spans="1:48" x14ac:dyDescent="0.25">
      <c r="A80" t="s">
        <v>397</v>
      </c>
      <c r="B80" s="99" t="s">
        <v>101</v>
      </c>
      <c r="C80" s="99">
        <v>2</v>
      </c>
      <c r="D80" s="99">
        <v>-1</v>
      </c>
      <c r="E80" s="99">
        <v>2</v>
      </c>
      <c r="F80" s="99" t="s">
        <v>327</v>
      </c>
      <c r="G80" s="13"/>
      <c r="H80" s="99" t="s">
        <v>328</v>
      </c>
      <c r="I80" s="99">
        <v>-2</v>
      </c>
      <c r="J80">
        <v>3</v>
      </c>
      <c r="K80">
        <v>25</v>
      </c>
      <c r="M80" s="2">
        <v>31</v>
      </c>
      <c r="N80" s="57">
        <v>33</v>
      </c>
      <c r="O80" s="4">
        <v>38</v>
      </c>
      <c r="P80" s="18">
        <v>43</v>
      </c>
      <c r="Q80" s="3"/>
      <c r="R80" s="19">
        <v>31</v>
      </c>
      <c r="S80" s="4">
        <f t="shared" si="0"/>
        <v>84</v>
      </c>
      <c r="T80" s="4">
        <f t="shared" si="1"/>
        <v>78</v>
      </c>
      <c r="U80" s="4">
        <f t="shared" si="2"/>
        <v>63</v>
      </c>
      <c r="V80" s="3">
        <f t="shared" si="3"/>
        <v>48</v>
      </c>
      <c r="X80" s="16">
        <v>5</v>
      </c>
      <c r="Y80" s="22">
        <v>5</v>
      </c>
      <c r="Z80" s="22">
        <v>4</v>
      </c>
      <c r="AA80" s="22">
        <v>3</v>
      </c>
      <c r="AB80" s="3"/>
      <c r="AC80" s="16">
        <v>3</v>
      </c>
      <c r="AD80" s="4">
        <v>15</v>
      </c>
      <c r="AE80" s="4">
        <v>15</v>
      </c>
      <c r="AF80" s="4">
        <v>20</v>
      </c>
      <c r="AG80" s="3">
        <v>25</v>
      </c>
      <c r="AI80" s="2"/>
      <c r="AJ80" s="4"/>
      <c r="AK80" s="4"/>
      <c r="AL80" s="4"/>
      <c r="AM80" s="4">
        <v>39</v>
      </c>
      <c r="AN80" s="3">
        <v>39</v>
      </c>
      <c r="AO80" s="2">
        <v>39</v>
      </c>
      <c r="AP80" s="4"/>
      <c r="AQ80" s="4"/>
      <c r="AR80" s="4"/>
      <c r="AS80" s="4"/>
      <c r="AT80" s="4">
        <v>195</v>
      </c>
      <c r="AU80" s="3">
        <v>195</v>
      </c>
    </row>
    <row r="81" spans="1:47" x14ac:dyDescent="0.25">
      <c r="A81" t="s">
        <v>396</v>
      </c>
      <c r="B81" s="99" t="s">
        <v>1</v>
      </c>
      <c r="C81" s="99">
        <v>1</v>
      </c>
      <c r="D81" s="13">
        <v>1</v>
      </c>
      <c r="E81" s="99">
        <v>3</v>
      </c>
      <c r="F81" s="99" t="s">
        <v>327</v>
      </c>
      <c r="G81" s="13"/>
      <c r="H81" s="99" t="s">
        <v>328</v>
      </c>
      <c r="I81" s="99">
        <v>-2</v>
      </c>
      <c r="J81" s="99">
        <v>3</v>
      </c>
      <c r="K81" s="99">
        <v>45</v>
      </c>
      <c r="M81" s="2">
        <v>32</v>
      </c>
      <c r="N81" s="57">
        <v>34</v>
      </c>
      <c r="O81" s="4">
        <v>39</v>
      </c>
      <c r="P81" s="18">
        <v>44</v>
      </c>
      <c r="Q81" s="3"/>
      <c r="R81" s="19">
        <v>32</v>
      </c>
      <c r="S81" s="4">
        <f t="shared" si="0"/>
        <v>87</v>
      </c>
      <c r="T81" s="4">
        <f t="shared" si="1"/>
        <v>81</v>
      </c>
      <c r="U81" s="4">
        <f t="shared" si="2"/>
        <v>66</v>
      </c>
      <c r="V81" s="3">
        <f t="shared" si="3"/>
        <v>51</v>
      </c>
      <c r="X81" s="16">
        <v>6</v>
      </c>
      <c r="Y81" s="22">
        <v>6</v>
      </c>
      <c r="Z81" s="22">
        <v>5</v>
      </c>
      <c r="AA81" s="22">
        <v>4</v>
      </c>
      <c r="AB81" s="3"/>
      <c r="AC81" s="16">
        <v>4</v>
      </c>
      <c r="AD81" s="4">
        <v>20</v>
      </c>
      <c r="AE81" s="4">
        <v>20</v>
      </c>
      <c r="AF81" s="4">
        <v>25</v>
      </c>
      <c r="AG81" s="3">
        <v>30</v>
      </c>
      <c r="AI81" s="2"/>
      <c r="AJ81" s="4"/>
      <c r="AK81" s="4"/>
      <c r="AL81" s="4"/>
      <c r="AM81" s="4">
        <v>40</v>
      </c>
      <c r="AN81" s="3">
        <v>40</v>
      </c>
      <c r="AO81" s="2">
        <v>40</v>
      </c>
      <c r="AP81" s="4"/>
      <c r="AQ81" s="4"/>
      <c r="AR81" s="4"/>
      <c r="AS81" s="4"/>
      <c r="AT81" s="4">
        <v>200</v>
      </c>
      <c r="AU81" s="3">
        <v>200</v>
      </c>
    </row>
    <row r="82" spans="1:47" x14ac:dyDescent="0.25">
      <c r="A82" t="s">
        <v>465</v>
      </c>
      <c r="B82" t="s">
        <v>1</v>
      </c>
      <c r="C82" s="99">
        <v>1</v>
      </c>
      <c r="D82" s="13">
        <v>3</v>
      </c>
      <c r="E82">
        <v>4</v>
      </c>
      <c r="F82" t="s">
        <v>327</v>
      </c>
      <c r="H82" t="s">
        <v>328</v>
      </c>
      <c r="I82" s="13">
        <v>-4</v>
      </c>
      <c r="J82">
        <v>4</v>
      </c>
      <c r="K82">
        <v>45</v>
      </c>
      <c r="M82" s="2">
        <v>33</v>
      </c>
      <c r="N82" s="57">
        <v>35</v>
      </c>
      <c r="O82" s="4">
        <v>40</v>
      </c>
      <c r="P82" s="18">
        <v>45</v>
      </c>
      <c r="Q82" s="3"/>
      <c r="R82" s="19">
        <v>33</v>
      </c>
      <c r="S82" s="4">
        <f t="shared" si="0"/>
        <v>90</v>
      </c>
      <c r="T82" s="4">
        <f t="shared" si="1"/>
        <v>84</v>
      </c>
      <c r="U82" s="4">
        <f t="shared" si="2"/>
        <v>69</v>
      </c>
      <c r="V82" s="3">
        <f t="shared" si="3"/>
        <v>54</v>
      </c>
      <c r="X82" s="16">
        <v>7</v>
      </c>
      <c r="Y82" s="22">
        <v>7</v>
      </c>
      <c r="Z82" s="22">
        <v>6</v>
      </c>
      <c r="AA82" s="22">
        <v>5</v>
      </c>
      <c r="AB82" s="3"/>
      <c r="AC82" s="16">
        <v>5</v>
      </c>
      <c r="AD82" s="4">
        <v>25</v>
      </c>
      <c r="AE82" s="4">
        <v>25</v>
      </c>
      <c r="AF82" s="4">
        <v>30</v>
      </c>
      <c r="AG82" s="3">
        <v>35</v>
      </c>
      <c r="AI82" s="2"/>
      <c r="AJ82" s="4"/>
      <c r="AK82" s="4"/>
      <c r="AL82" s="4"/>
      <c r="AM82" s="4"/>
      <c r="AN82" s="3">
        <v>41</v>
      </c>
      <c r="AO82" s="2">
        <v>41</v>
      </c>
      <c r="AP82" s="4"/>
      <c r="AQ82" s="4"/>
      <c r="AR82" s="4"/>
      <c r="AS82" s="4"/>
      <c r="AT82" s="4"/>
      <c r="AU82" s="3">
        <v>205</v>
      </c>
    </row>
    <row r="83" spans="1:47" x14ac:dyDescent="0.25">
      <c r="A83" t="s">
        <v>85</v>
      </c>
      <c r="B83" t="s">
        <v>101</v>
      </c>
      <c r="C83" s="99">
        <v>2</v>
      </c>
      <c r="D83" s="13">
        <v>0</v>
      </c>
      <c r="E83">
        <v>3</v>
      </c>
      <c r="F83" t="s">
        <v>327</v>
      </c>
      <c r="G83" s="13"/>
      <c r="H83" t="s">
        <v>328</v>
      </c>
      <c r="I83" s="13">
        <v>-1</v>
      </c>
      <c r="J83">
        <v>8</v>
      </c>
      <c r="K83">
        <v>35</v>
      </c>
      <c r="M83" s="2">
        <v>34</v>
      </c>
      <c r="N83" s="57">
        <v>36</v>
      </c>
      <c r="O83" s="4">
        <v>41</v>
      </c>
      <c r="P83" s="18">
        <v>46</v>
      </c>
      <c r="Q83" s="3"/>
      <c r="R83" s="19">
        <v>34</v>
      </c>
      <c r="S83" s="4">
        <f t="shared" si="0"/>
        <v>93</v>
      </c>
      <c r="T83" s="4">
        <f t="shared" si="1"/>
        <v>87</v>
      </c>
      <c r="U83" s="4">
        <f t="shared" si="2"/>
        <v>72</v>
      </c>
      <c r="V83" s="3">
        <f t="shared" si="3"/>
        <v>57</v>
      </c>
      <c r="X83" s="16">
        <v>8</v>
      </c>
      <c r="Y83" s="22">
        <v>8</v>
      </c>
      <c r="Z83" s="22">
        <v>7</v>
      </c>
      <c r="AA83" s="22">
        <v>6</v>
      </c>
      <c r="AB83" s="3"/>
      <c r="AC83" s="16">
        <v>6</v>
      </c>
      <c r="AD83" s="4">
        <v>30</v>
      </c>
      <c r="AE83" s="4">
        <v>30</v>
      </c>
      <c r="AF83" s="4">
        <v>35</v>
      </c>
      <c r="AG83" s="3">
        <v>40</v>
      </c>
      <c r="AI83" s="2"/>
      <c r="AJ83" s="4"/>
      <c r="AK83" s="4"/>
      <c r="AL83" s="4"/>
      <c r="AM83" s="4"/>
      <c r="AN83" s="3">
        <v>42</v>
      </c>
      <c r="AO83" s="2">
        <v>42</v>
      </c>
      <c r="AP83" s="4"/>
      <c r="AQ83" s="4"/>
      <c r="AR83" s="4"/>
      <c r="AS83" s="4"/>
      <c r="AT83" s="4"/>
      <c r="AU83" s="3">
        <v>210</v>
      </c>
    </row>
    <row r="84" spans="1:47" x14ac:dyDescent="0.25">
      <c r="A84" t="s">
        <v>86</v>
      </c>
      <c r="B84" t="s">
        <v>101</v>
      </c>
      <c r="C84" s="99">
        <v>2</v>
      </c>
      <c r="D84" s="13">
        <v>0</v>
      </c>
      <c r="E84">
        <v>2</v>
      </c>
      <c r="F84" t="s">
        <v>327</v>
      </c>
      <c r="G84" s="13"/>
      <c r="H84" t="s">
        <v>328</v>
      </c>
      <c r="I84" s="13">
        <v>-3</v>
      </c>
      <c r="J84">
        <v>12</v>
      </c>
      <c r="K84">
        <v>20</v>
      </c>
      <c r="M84" s="2">
        <v>35</v>
      </c>
      <c r="N84" s="57">
        <v>37</v>
      </c>
      <c r="O84" s="4">
        <v>42</v>
      </c>
      <c r="P84" s="18">
        <v>47</v>
      </c>
      <c r="Q84" s="3"/>
      <c r="R84" s="19">
        <v>35</v>
      </c>
      <c r="S84" s="4">
        <f t="shared" si="0"/>
        <v>96</v>
      </c>
      <c r="T84" s="4">
        <f t="shared" si="1"/>
        <v>90</v>
      </c>
      <c r="U84" s="4">
        <f t="shared" si="2"/>
        <v>75</v>
      </c>
      <c r="V84" s="3">
        <f t="shared" si="3"/>
        <v>60</v>
      </c>
      <c r="X84" s="16">
        <v>9</v>
      </c>
      <c r="Y84" s="22">
        <v>9</v>
      </c>
      <c r="Z84" s="22">
        <v>8</v>
      </c>
      <c r="AA84" s="22">
        <v>7</v>
      </c>
      <c r="AB84" s="3"/>
      <c r="AC84" s="16">
        <v>7</v>
      </c>
      <c r="AD84" s="4">
        <v>35</v>
      </c>
      <c r="AE84" s="4">
        <v>35</v>
      </c>
      <c r="AF84" s="4">
        <v>40</v>
      </c>
      <c r="AG84" s="3">
        <v>45</v>
      </c>
      <c r="AI84" s="2"/>
      <c r="AJ84" s="4"/>
      <c r="AK84" s="4"/>
      <c r="AL84" s="4"/>
      <c r="AM84" s="4"/>
      <c r="AN84" s="3">
        <v>43</v>
      </c>
      <c r="AO84" s="2">
        <v>43</v>
      </c>
      <c r="AP84" s="4"/>
      <c r="AQ84" s="4"/>
      <c r="AR84" s="4"/>
      <c r="AS84" s="4"/>
      <c r="AT84" s="4"/>
      <c r="AU84" s="3">
        <v>215</v>
      </c>
    </row>
    <row r="85" spans="1:47" x14ac:dyDescent="0.25">
      <c r="A85" t="s">
        <v>87</v>
      </c>
      <c r="B85" t="s">
        <v>101</v>
      </c>
      <c r="C85" s="99">
        <v>2</v>
      </c>
      <c r="D85" s="13">
        <v>0</v>
      </c>
      <c r="E85">
        <v>1</v>
      </c>
      <c r="F85" t="s">
        <v>327</v>
      </c>
      <c r="G85" s="13">
        <v>1</v>
      </c>
      <c r="H85" t="s">
        <v>328</v>
      </c>
      <c r="I85" s="13">
        <v>-4</v>
      </c>
      <c r="J85">
        <v>9</v>
      </c>
      <c r="K85">
        <v>30</v>
      </c>
      <c r="M85" s="2">
        <v>36</v>
      </c>
      <c r="N85" s="57">
        <v>38</v>
      </c>
      <c r="O85" s="4">
        <v>43</v>
      </c>
      <c r="P85" s="18">
        <v>48</v>
      </c>
      <c r="Q85" s="3"/>
      <c r="R85" s="19">
        <v>36</v>
      </c>
      <c r="S85" s="4">
        <f t="shared" si="0"/>
        <v>99</v>
      </c>
      <c r="T85" s="4">
        <f t="shared" si="1"/>
        <v>93</v>
      </c>
      <c r="U85" s="4">
        <f t="shared" si="2"/>
        <v>78</v>
      </c>
      <c r="V85" s="3">
        <f t="shared" si="3"/>
        <v>63</v>
      </c>
      <c r="X85" s="16">
        <v>10</v>
      </c>
      <c r="Y85" s="22">
        <v>10</v>
      </c>
      <c r="Z85" s="22">
        <v>9</v>
      </c>
      <c r="AA85" s="22">
        <v>8</v>
      </c>
      <c r="AB85" s="3"/>
      <c r="AC85" s="16">
        <v>8</v>
      </c>
      <c r="AD85" s="4">
        <v>40</v>
      </c>
      <c r="AE85" s="4">
        <v>40</v>
      </c>
      <c r="AF85" s="4">
        <v>45</v>
      </c>
      <c r="AG85" s="3">
        <v>50</v>
      </c>
      <c r="AI85" s="2"/>
      <c r="AJ85" s="4"/>
      <c r="AK85" s="4"/>
      <c r="AL85" s="4"/>
      <c r="AM85" s="4"/>
      <c r="AN85" s="3">
        <v>44</v>
      </c>
      <c r="AO85" s="2">
        <v>44</v>
      </c>
      <c r="AP85" s="4"/>
      <c r="AQ85" s="4"/>
      <c r="AR85" s="4"/>
      <c r="AS85" s="4"/>
      <c r="AT85" s="4"/>
      <c r="AU85" s="3">
        <v>220</v>
      </c>
    </row>
    <row r="86" spans="1:47" x14ac:dyDescent="0.25">
      <c r="A86" t="s">
        <v>88</v>
      </c>
      <c r="B86" t="s">
        <v>101</v>
      </c>
      <c r="C86" s="99">
        <v>2</v>
      </c>
      <c r="D86" s="13">
        <v>1</v>
      </c>
      <c r="E86">
        <v>2</v>
      </c>
      <c r="F86" t="s">
        <v>327</v>
      </c>
      <c r="G86" s="13"/>
      <c r="H86" t="s">
        <v>328</v>
      </c>
      <c r="I86" s="13">
        <v>-2</v>
      </c>
      <c r="J86">
        <v>18</v>
      </c>
      <c r="K86">
        <v>30</v>
      </c>
      <c r="M86" s="2">
        <v>37</v>
      </c>
      <c r="N86" s="57">
        <v>39</v>
      </c>
      <c r="O86" s="4">
        <v>44</v>
      </c>
      <c r="P86" s="18">
        <v>49</v>
      </c>
      <c r="Q86" s="3"/>
      <c r="R86" s="19">
        <v>37</v>
      </c>
      <c r="S86" s="4">
        <f t="shared" si="0"/>
        <v>102</v>
      </c>
      <c r="T86" s="4">
        <f t="shared" si="1"/>
        <v>96</v>
      </c>
      <c r="U86" s="4">
        <f t="shared" si="2"/>
        <v>81</v>
      </c>
      <c r="V86" s="3">
        <f t="shared" si="3"/>
        <v>66</v>
      </c>
      <c r="X86" s="2"/>
      <c r="Y86" s="4"/>
      <c r="Z86" s="4"/>
      <c r="AA86" s="4"/>
      <c r="AB86" s="3"/>
      <c r="AC86" s="16">
        <v>9</v>
      </c>
      <c r="AD86" s="4">
        <v>45</v>
      </c>
      <c r="AE86" s="4">
        <v>45</v>
      </c>
      <c r="AF86" s="4">
        <v>50</v>
      </c>
      <c r="AG86" s="3"/>
      <c r="AH86" s="11"/>
      <c r="AI86" s="2"/>
      <c r="AJ86" s="4"/>
      <c r="AK86" s="4"/>
      <c r="AL86" s="4"/>
      <c r="AM86" s="4"/>
      <c r="AN86" s="8">
        <v>45</v>
      </c>
      <c r="AO86" s="7">
        <v>45</v>
      </c>
      <c r="AP86" s="4"/>
      <c r="AQ86" s="27"/>
      <c r="AR86" s="4"/>
      <c r="AS86" s="4"/>
      <c r="AT86" s="4"/>
      <c r="AU86" s="3">
        <v>225</v>
      </c>
    </row>
    <row r="87" spans="1:47" x14ac:dyDescent="0.25">
      <c r="A87" t="s">
        <v>89</v>
      </c>
      <c r="B87" t="s">
        <v>101</v>
      </c>
      <c r="C87" s="99">
        <v>2</v>
      </c>
      <c r="D87" s="13">
        <v>1</v>
      </c>
      <c r="E87">
        <v>1</v>
      </c>
      <c r="F87" t="s">
        <v>327</v>
      </c>
      <c r="G87" s="13">
        <v>1</v>
      </c>
      <c r="H87" t="s">
        <v>328</v>
      </c>
      <c r="I87" s="13">
        <v>-4</v>
      </c>
      <c r="J87">
        <v>15</v>
      </c>
      <c r="K87">
        <v>35</v>
      </c>
      <c r="M87" s="2">
        <v>38</v>
      </c>
      <c r="N87" s="57">
        <v>40</v>
      </c>
      <c r="O87" s="4">
        <v>45</v>
      </c>
      <c r="P87" s="18">
        <v>50</v>
      </c>
      <c r="Q87" s="3"/>
      <c r="R87" s="19">
        <v>38</v>
      </c>
      <c r="S87" s="4">
        <f t="shared" si="0"/>
        <v>105</v>
      </c>
      <c r="T87" s="4">
        <f t="shared" si="1"/>
        <v>99</v>
      </c>
      <c r="U87" s="4">
        <f t="shared" si="2"/>
        <v>84</v>
      </c>
      <c r="V87" s="3">
        <f t="shared" si="3"/>
        <v>69</v>
      </c>
      <c r="X87" s="5"/>
      <c r="Y87" s="14"/>
      <c r="Z87" s="14"/>
      <c r="AA87" s="14"/>
      <c r="AB87" s="15"/>
      <c r="AC87" s="17">
        <v>10</v>
      </c>
      <c r="AD87" s="14">
        <v>50</v>
      </c>
      <c r="AE87" s="14">
        <v>50</v>
      </c>
      <c r="AF87" s="14"/>
      <c r="AG87" s="15"/>
      <c r="AI87" s="2"/>
      <c r="AJ87" s="4"/>
      <c r="AK87" s="4"/>
      <c r="AL87" s="4"/>
      <c r="AM87" s="4"/>
      <c r="AN87" s="8">
        <v>46</v>
      </c>
      <c r="AO87" s="7">
        <v>46</v>
      </c>
      <c r="AP87" s="4"/>
      <c r="AQ87" s="4"/>
      <c r="AR87" s="4"/>
      <c r="AS87" s="4"/>
      <c r="AT87" s="4"/>
      <c r="AU87" s="3">
        <v>230</v>
      </c>
    </row>
    <row r="88" spans="1:47" x14ac:dyDescent="0.25">
      <c r="A88" t="s">
        <v>90</v>
      </c>
      <c r="B88" t="s">
        <v>101</v>
      </c>
      <c r="C88" s="99">
        <v>2</v>
      </c>
      <c r="D88" s="13">
        <v>2</v>
      </c>
      <c r="E88">
        <v>1</v>
      </c>
      <c r="F88" t="s">
        <v>327</v>
      </c>
      <c r="G88" s="13">
        <v>1</v>
      </c>
      <c r="H88" t="s">
        <v>328</v>
      </c>
      <c r="I88" s="13">
        <v>-4</v>
      </c>
      <c r="J88">
        <v>20</v>
      </c>
      <c r="K88">
        <v>40</v>
      </c>
      <c r="M88" s="2">
        <v>39</v>
      </c>
      <c r="N88" s="57">
        <v>41</v>
      </c>
      <c r="O88" s="4">
        <v>46</v>
      </c>
      <c r="P88" s="18">
        <v>51</v>
      </c>
      <c r="Q88" s="3"/>
      <c r="R88" s="19">
        <v>39</v>
      </c>
      <c r="S88" s="4">
        <f t="shared" si="0"/>
        <v>108</v>
      </c>
      <c r="T88" s="4">
        <f t="shared" si="1"/>
        <v>102</v>
      </c>
      <c r="U88" s="4">
        <f t="shared" si="2"/>
        <v>87</v>
      </c>
      <c r="V88" s="3">
        <f t="shared" si="3"/>
        <v>72</v>
      </c>
      <c r="AI88" s="2"/>
      <c r="AJ88" s="4"/>
      <c r="AK88" s="4"/>
      <c r="AL88" s="4"/>
      <c r="AM88" s="4"/>
      <c r="AN88" s="8">
        <v>47</v>
      </c>
      <c r="AO88" s="7">
        <v>47</v>
      </c>
      <c r="AP88" s="4"/>
      <c r="AQ88" s="4"/>
      <c r="AR88" s="4"/>
      <c r="AS88" s="4"/>
      <c r="AT88" s="4"/>
      <c r="AU88" s="3">
        <v>235</v>
      </c>
    </row>
    <row r="89" spans="1:47" x14ac:dyDescent="0.25">
      <c r="A89" t="s">
        <v>91</v>
      </c>
      <c r="B89" t="s">
        <v>101</v>
      </c>
      <c r="C89" s="99">
        <v>2</v>
      </c>
      <c r="D89" s="13">
        <v>3</v>
      </c>
      <c r="E89">
        <v>1</v>
      </c>
      <c r="F89" t="s">
        <v>327</v>
      </c>
      <c r="G89" s="13">
        <v>1</v>
      </c>
      <c r="H89" t="s">
        <v>328</v>
      </c>
      <c r="I89" s="13">
        <v>-2</v>
      </c>
      <c r="J89">
        <v>18</v>
      </c>
      <c r="K89">
        <v>40</v>
      </c>
      <c r="M89" s="2">
        <v>40</v>
      </c>
      <c r="N89" s="57">
        <v>42</v>
      </c>
      <c r="O89" s="4">
        <v>47</v>
      </c>
      <c r="P89" s="18">
        <v>52</v>
      </c>
      <c r="Q89" s="3"/>
      <c r="R89" s="19">
        <v>40</v>
      </c>
      <c r="S89" s="4">
        <f t="shared" si="0"/>
        <v>111</v>
      </c>
      <c r="T89" s="4">
        <f t="shared" si="1"/>
        <v>105</v>
      </c>
      <c r="U89" s="4">
        <f t="shared" si="2"/>
        <v>90</v>
      </c>
      <c r="V89" s="3">
        <f t="shared" si="3"/>
        <v>75</v>
      </c>
      <c r="AI89" s="2"/>
      <c r="AJ89" s="4"/>
      <c r="AK89" s="4"/>
      <c r="AL89" s="4"/>
      <c r="AM89" s="4"/>
      <c r="AN89" s="8">
        <v>48</v>
      </c>
      <c r="AO89" s="7">
        <v>48</v>
      </c>
      <c r="AP89" s="4"/>
      <c r="AQ89" s="4"/>
      <c r="AR89" s="4"/>
      <c r="AS89" s="4"/>
      <c r="AT89" s="4"/>
      <c r="AU89" s="3">
        <v>240</v>
      </c>
    </row>
    <row r="90" spans="1:47" ht="15.75" x14ac:dyDescent="0.25">
      <c r="A90" t="s">
        <v>469</v>
      </c>
      <c r="B90" t="s">
        <v>101</v>
      </c>
      <c r="C90" s="99">
        <v>2</v>
      </c>
      <c r="D90" s="13">
        <v>1</v>
      </c>
      <c r="E90">
        <v>2</v>
      </c>
      <c r="F90" t="s">
        <v>327</v>
      </c>
      <c r="G90" s="13">
        <v>1</v>
      </c>
      <c r="H90" t="s">
        <v>328</v>
      </c>
      <c r="J90">
        <v>10</v>
      </c>
      <c r="K90">
        <v>35</v>
      </c>
      <c r="M90" s="2"/>
      <c r="N90" s="57">
        <v>43</v>
      </c>
      <c r="O90" s="4">
        <v>48</v>
      </c>
      <c r="P90" s="18">
        <v>53</v>
      </c>
      <c r="Q90" s="3"/>
      <c r="R90" s="19">
        <v>41</v>
      </c>
      <c r="S90" s="4"/>
      <c r="T90" s="4">
        <f t="shared" si="1"/>
        <v>108</v>
      </c>
      <c r="U90" s="4">
        <f t="shared" si="2"/>
        <v>93</v>
      </c>
      <c r="V90" s="3">
        <f t="shared" si="3"/>
        <v>78</v>
      </c>
      <c r="X90" s="31" t="s">
        <v>60</v>
      </c>
      <c r="Y90" s="10"/>
      <c r="Z90" s="10"/>
      <c r="AA90" s="10"/>
      <c r="AB90" s="1"/>
      <c r="AC90" s="31" t="s">
        <v>61</v>
      </c>
      <c r="AD90" s="10"/>
      <c r="AE90" s="10"/>
      <c r="AF90" s="10"/>
      <c r="AG90" s="1"/>
      <c r="AI90" s="2"/>
      <c r="AJ90" s="4"/>
      <c r="AK90" s="4"/>
      <c r="AL90" s="4"/>
      <c r="AM90" s="4"/>
      <c r="AN90" s="8">
        <v>49</v>
      </c>
      <c r="AO90" s="7">
        <v>49</v>
      </c>
      <c r="AP90" s="4"/>
      <c r="AQ90" s="4"/>
      <c r="AR90" s="4"/>
      <c r="AS90" s="4"/>
      <c r="AT90" s="4"/>
      <c r="AU90" s="3">
        <v>245</v>
      </c>
    </row>
    <row r="91" spans="1:47" x14ac:dyDescent="0.25">
      <c r="A91" s="32" t="s">
        <v>107</v>
      </c>
      <c r="D91" s="13"/>
      <c r="I91" s="13"/>
      <c r="M91" s="2"/>
      <c r="N91" s="57">
        <v>44</v>
      </c>
      <c r="O91" s="4">
        <v>49</v>
      </c>
      <c r="P91" s="18">
        <v>54</v>
      </c>
      <c r="Q91" s="3"/>
      <c r="R91" s="19">
        <v>42</v>
      </c>
      <c r="S91" s="4"/>
      <c r="T91" s="4">
        <f t="shared" si="1"/>
        <v>111</v>
      </c>
      <c r="U91" s="4">
        <f t="shared" si="2"/>
        <v>96</v>
      </c>
      <c r="V91" s="3">
        <f t="shared" si="3"/>
        <v>81</v>
      </c>
      <c r="X91" s="2" t="s">
        <v>36</v>
      </c>
      <c r="Y91" s="4" t="s">
        <v>37</v>
      </c>
      <c r="Z91" s="4" t="s">
        <v>38</v>
      </c>
      <c r="AA91" s="4" t="s">
        <v>39</v>
      </c>
      <c r="AB91" s="3"/>
      <c r="AC91" s="21" t="s">
        <v>60</v>
      </c>
      <c r="AD91" s="4" t="s">
        <v>36</v>
      </c>
      <c r="AE91" s="4" t="s">
        <v>37</v>
      </c>
      <c r="AF91" s="4" t="s">
        <v>38</v>
      </c>
      <c r="AG91" s="3" t="s">
        <v>39</v>
      </c>
      <c r="AI91" s="5"/>
      <c r="AJ91" s="14"/>
      <c r="AK91" s="14"/>
      <c r="AL91" s="14"/>
      <c r="AM91" s="14"/>
      <c r="AN91" s="37">
        <v>50</v>
      </c>
      <c r="AO91" s="38">
        <v>50</v>
      </c>
      <c r="AP91" s="14"/>
      <c r="AQ91" s="14"/>
      <c r="AR91" s="14"/>
      <c r="AS91" s="14"/>
      <c r="AT91" s="14"/>
      <c r="AU91" s="15">
        <v>250</v>
      </c>
    </row>
    <row r="92" spans="1:47" x14ac:dyDescent="0.25">
      <c r="A92" t="s">
        <v>92</v>
      </c>
      <c r="B92" t="s">
        <v>101</v>
      </c>
      <c r="C92" s="99">
        <v>2</v>
      </c>
      <c r="D92" s="13">
        <v>1</v>
      </c>
      <c r="E92">
        <v>3</v>
      </c>
      <c r="F92" t="s">
        <v>327</v>
      </c>
      <c r="G92" s="13"/>
      <c r="H92" t="s">
        <v>328</v>
      </c>
      <c r="I92" s="13">
        <v>-4</v>
      </c>
      <c r="J92">
        <v>5</v>
      </c>
      <c r="K92">
        <v>25</v>
      </c>
      <c r="M92" s="2"/>
      <c r="N92" s="57">
        <v>45</v>
      </c>
      <c r="O92" s="4">
        <v>50</v>
      </c>
      <c r="P92" s="18">
        <v>55</v>
      </c>
      <c r="Q92" s="3"/>
      <c r="R92" s="19">
        <v>43</v>
      </c>
      <c r="S92" s="4"/>
      <c r="T92" s="4">
        <f t="shared" si="1"/>
        <v>114</v>
      </c>
      <c r="U92" s="4">
        <f t="shared" si="2"/>
        <v>99</v>
      </c>
      <c r="V92" s="3">
        <f t="shared" si="3"/>
        <v>84</v>
      </c>
      <c r="X92" s="2" t="s">
        <v>50</v>
      </c>
      <c r="Y92" s="4" t="s">
        <v>50</v>
      </c>
      <c r="Z92" s="4" t="s">
        <v>50</v>
      </c>
      <c r="AA92" s="4" t="s">
        <v>50</v>
      </c>
      <c r="AB92" s="3"/>
      <c r="AC92" s="2" t="s">
        <v>50</v>
      </c>
      <c r="AD92" s="4">
        <v>0</v>
      </c>
      <c r="AE92" s="4">
        <v>0</v>
      </c>
      <c r="AF92" s="4">
        <v>0</v>
      </c>
      <c r="AG92" s="3">
        <v>0</v>
      </c>
    </row>
    <row r="93" spans="1:47" x14ac:dyDescent="0.25">
      <c r="A93" t="s">
        <v>93</v>
      </c>
      <c r="B93" t="s">
        <v>101</v>
      </c>
      <c r="C93" s="99">
        <v>2</v>
      </c>
      <c r="D93" s="13">
        <v>2</v>
      </c>
      <c r="E93">
        <v>3</v>
      </c>
      <c r="F93" t="s">
        <v>327</v>
      </c>
      <c r="G93" s="13"/>
      <c r="H93" t="s">
        <v>328</v>
      </c>
      <c r="I93" s="13">
        <v>-2</v>
      </c>
      <c r="J93">
        <v>3</v>
      </c>
      <c r="K93">
        <v>35</v>
      </c>
      <c r="M93" s="2"/>
      <c r="N93" s="57">
        <v>46</v>
      </c>
      <c r="O93" s="4">
        <v>51</v>
      </c>
      <c r="P93" s="18">
        <v>56</v>
      </c>
      <c r="Q93" s="3"/>
      <c r="R93" s="19">
        <v>44</v>
      </c>
      <c r="S93" s="4"/>
      <c r="T93" s="4">
        <f t="shared" si="1"/>
        <v>117</v>
      </c>
      <c r="U93" s="4">
        <f t="shared" si="2"/>
        <v>102</v>
      </c>
      <c r="V93" s="3">
        <f t="shared" si="3"/>
        <v>87</v>
      </c>
      <c r="X93" s="2"/>
      <c r="Y93" s="4"/>
      <c r="Z93" s="23" t="s">
        <v>51</v>
      </c>
      <c r="AA93" s="23" t="s">
        <v>51</v>
      </c>
      <c r="AB93" s="3"/>
      <c r="AC93" s="25" t="s">
        <v>51</v>
      </c>
      <c r="AD93" s="4"/>
      <c r="AE93" s="4"/>
      <c r="AF93" s="4">
        <v>20</v>
      </c>
      <c r="AG93" s="3">
        <v>20</v>
      </c>
    </row>
    <row r="94" spans="1:47" x14ac:dyDescent="0.25">
      <c r="A94" s="99" t="s">
        <v>401</v>
      </c>
      <c r="B94" s="99" t="s">
        <v>332</v>
      </c>
      <c r="C94" s="99">
        <v>1</v>
      </c>
      <c r="D94" s="13">
        <v>1</v>
      </c>
      <c r="E94" s="99">
        <v>2</v>
      </c>
      <c r="F94" s="99" t="s">
        <v>327</v>
      </c>
      <c r="G94" s="13">
        <v>1</v>
      </c>
      <c r="H94" s="99" t="s">
        <v>328</v>
      </c>
      <c r="I94" s="13">
        <v>-4</v>
      </c>
      <c r="J94" s="99">
        <v>0</v>
      </c>
      <c r="K94" s="99">
        <v>50</v>
      </c>
      <c r="M94" s="2"/>
      <c r="N94" s="57">
        <v>47</v>
      </c>
      <c r="O94" s="4">
        <v>52</v>
      </c>
      <c r="P94" s="18">
        <v>57</v>
      </c>
      <c r="Q94" s="3"/>
      <c r="R94" s="19">
        <v>45</v>
      </c>
      <c r="S94" s="4"/>
      <c r="T94" s="4">
        <f t="shared" si="1"/>
        <v>120</v>
      </c>
      <c r="U94" s="4">
        <f t="shared" si="2"/>
        <v>105</v>
      </c>
      <c r="V94" s="3">
        <f t="shared" si="3"/>
        <v>90</v>
      </c>
      <c r="X94" s="5"/>
      <c r="Y94" s="14"/>
      <c r="Z94" s="24"/>
      <c r="AA94" s="24" t="s">
        <v>52</v>
      </c>
      <c r="AB94" s="15"/>
      <c r="AC94" s="26" t="s">
        <v>52</v>
      </c>
      <c r="AD94" s="14"/>
      <c r="AE94" s="14"/>
      <c r="AF94" s="14"/>
      <c r="AG94" s="15">
        <v>40</v>
      </c>
    </row>
    <row r="95" spans="1:47" ht="15.75" x14ac:dyDescent="0.25">
      <c r="A95" t="s">
        <v>94</v>
      </c>
      <c r="B95" t="s">
        <v>332</v>
      </c>
      <c r="C95" s="99">
        <v>1</v>
      </c>
      <c r="D95" s="13">
        <v>1</v>
      </c>
      <c r="E95">
        <v>1</v>
      </c>
      <c r="F95" t="s">
        <v>327</v>
      </c>
      <c r="G95" s="13">
        <v>1</v>
      </c>
      <c r="H95" t="s">
        <v>328</v>
      </c>
      <c r="I95" s="13">
        <v>-2</v>
      </c>
      <c r="J95">
        <v>0</v>
      </c>
      <c r="K95">
        <v>50</v>
      </c>
      <c r="M95" s="2"/>
      <c r="N95" s="57">
        <v>48</v>
      </c>
      <c r="O95" s="4">
        <v>53</v>
      </c>
      <c r="P95" s="18">
        <v>58</v>
      </c>
      <c r="Q95" s="3"/>
      <c r="R95" s="19">
        <v>46</v>
      </c>
      <c r="S95" s="4"/>
      <c r="T95" s="4">
        <f t="shared" si="1"/>
        <v>123</v>
      </c>
      <c r="U95" s="4">
        <f t="shared" si="2"/>
        <v>108</v>
      </c>
      <c r="V95" s="3">
        <f t="shared" si="3"/>
        <v>93</v>
      </c>
      <c r="AI95" s="41" t="s">
        <v>184</v>
      </c>
      <c r="AJ95" s="31" t="s">
        <v>185</v>
      </c>
      <c r="AK95" s="10"/>
      <c r="AL95" s="10"/>
      <c r="AM95" s="10"/>
      <c r="AN95" s="10"/>
      <c r="AO95" s="1"/>
    </row>
    <row r="96" spans="1:47" x14ac:dyDescent="0.25">
      <c r="A96" t="s">
        <v>95</v>
      </c>
      <c r="B96" t="s">
        <v>1</v>
      </c>
      <c r="C96" s="99">
        <v>3</v>
      </c>
      <c r="D96" s="13">
        <v>-1</v>
      </c>
      <c r="E96">
        <v>2</v>
      </c>
      <c r="F96" t="s">
        <v>327</v>
      </c>
      <c r="G96" s="13"/>
      <c r="H96" t="s">
        <v>328</v>
      </c>
      <c r="I96" s="13">
        <v>-3</v>
      </c>
      <c r="J96">
        <v>0</v>
      </c>
      <c r="K96">
        <v>60</v>
      </c>
      <c r="M96" s="2"/>
      <c r="N96" s="57">
        <v>49</v>
      </c>
      <c r="O96" s="4">
        <v>54</v>
      </c>
      <c r="P96" s="18">
        <v>59</v>
      </c>
      <c r="Q96" s="3"/>
      <c r="R96" s="19">
        <v>47</v>
      </c>
      <c r="S96" s="4"/>
      <c r="T96" s="4">
        <f t="shared" si="1"/>
        <v>126</v>
      </c>
      <c r="U96" s="4">
        <f t="shared" si="2"/>
        <v>111</v>
      </c>
      <c r="V96" s="3">
        <f t="shared" si="3"/>
        <v>96</v>
      </c>
      <c r="AI96" s="42" t="s">
        <v>179</v>
      </c>
      <c r="AJ96" s="7" t="s">
        <v>186</v>
      </c>
      <c r="AK96" s="4" t="s">
        <v>179</v>
      </c>
      <c r="AL96" s="4" t="s">
        <v>180</v>
      </c>
      <c r="AM96" s="4" t="s">
        <v>181</v>
      </c>
      <c r="AN96" s="4" t="s">
        <v>182</v>
      </c>
      <c r="AO96" s="3" t="s">
        <v>183</v>
      </c>
    </row>
    <row r="97" spans="1:48" ht="15.75" x14ac:dyDescent="0.25">
      <c r="A97" s="32" t="s">
        <v>108</v>
      </c>
      <c r="D97" s="13"/>
      <c r="I97" s="13"/>
      <c r="M97" s="2"/>
      <c r="N97" s="57">
        <v>50</v>
      </c>
      <c r="O97" s="4">
        <v>55</v>
      </c>
      <c r="P97" s="18">
        <v>60</v>
      </c>
      <c r="Q97" s="3"/>
      <c r="R97" s="19">
        <v>48</v>
      </c>
      <c r="S97" s="4"/>
      <c r="T97" s="4">
        <f t="shared" si="1"/>
        <v>129</v>
      </c>
      <c r="U97" s="4">
        <f t="shared" si="2"/>
        <v>114</v>
      </c>
      <c r="V97" s="3">
        <f t="shared" si="3"/>
        <v>99</v>
      </c>
      <c r="X97" s="31" t="s">
        <v>62</v>
      </c>
      <c r="Y97" s="10"/>
      <c r="Z97" s="10"/>
      <c r="AA97" s="10"/>
      <c r="AB97" s="1"/>
      <c r="AC97" s="31" t="s">
        <v>63</v>
      </c>
      <c r="AD97" s="10"/>
      <c r="AE97" s="10"/>
      <c r="AF97" s="10"/>
      <c r="AG97" s="1"/>
      <c r="AI97" s="42" t="s">
        <v>180</v>
      </c>
      <c r="AJ97" s="16">
        <v>0</v>
      </c>
      <c r="AK97" s="22">
        <v>0</v>
      </c>
      <c r="AL97" s="22">
        <v>0</v>
      </c>
      <c r="AM97" s="22">
        <v>0</v>
      </c>
      <c r="AN97" s="22">
        <v>0</v>
      </c>
      <c r="AO97" s="28">
        <v>0</v>
      </c>
    </row>
    <row r="98" spans="1:48" x14ac:dyDescent="0.25">
      <c r="A98" t="s">
        <v>96</v>
      </c>
      <c r="B98" t="s">
        <v>101</v>
      </c>
      <c r="C98" s="99">
        <v>2</v>
      </c>
      <c r="D98" s="13">
        <v>2</v>
      </c>
      <c r="E98">
        <v>2</v>
      </c>
      <c r="F98" t="s">
        <v>327</v>
      </c>
      <c r="G98" s="13"/>
      <c r="H98" t="s">
        <v>328</v>
      </c>
      <c r="I98" s="13">
        <v>2</v>
      </c>
      <c r="J98">
        <v>0</v>
      </c>
      <c r="K98">
        <v>35</v>
      </c>
      <c r="M98" s="2"/>
      <c r="N98" s="57">
        <v>51</v>
      </c>
      <c r="O98" s="4">
        <v>56</v>
      </c>
      <c r="P98" s="18">
        <v>61</v>
      </c>
      <c r="Q98" s="3"/>
      <c r="R98" s="19">
        <v>49</v>
      </c>
      <c r="S98" s="4"/>
      <c r="T98" s="4">
        <f t="shared" si="1"/>
        <v>132</v>
      </c>
      <c r="U98" s="4">
        <f t="shared" si="2"/>
        <v>117</v>
      </c>
      <c r="V98" s="3">
        <f t="shared" si="3"/>
        <v>102</v>
      </c>
      <c r="X98" s="2" t="s">
        <v>36</v>
      </c>
      <c r="Y98" s="4" t="s">
        <v>37</v>
      </c>
      <c r="Z98" s="4" t="s">
        <v>38</v>
      </c>
      <c r="AA98" s="4" t="s">
        <v>39</v>
      </c>
      <c r="AB98" s="3"/>
      <c r="AC98" s="21" t="s">
        <v>62</v>
      </c>
      <c r="AD98" s="4" t="s">
        <v>36</v>
      </c>
      <c r="AE98" s="4" t="s">
        <v>37</v>
      </c>
      <c r="AF98" s="4" t="s">
        <v>38</v>
      </c>
      <c r="AG98" s="3" t="s">
        <v>39</v>
      </c>
      <c r="AI98" s="42" t="s">
        <v>181</v>
      </c>
      <c r="AJ98" s="16">
        <v>1</v>
      </c>
      <c r="AK98" s="4">
        <v>5</v>
      </c>
      <c r="AL98" s="4">
        <v>10</v>
      </c>
      <c r="AM98" s="4">
        <v>20</v>
      </c>
      <c r="AN98" s="4">
        <v>40</v>
      </c>
      <c r="AO98" s="3">
        <v>80</v>
      </c>
    </row>
    <row r="99" spans="1:48" x14ac:dyDescent="0.25">
      <c r="A99" t="s">
        <v>97</v>
      </c>
      <c r="B99" t="s">
        <v>1</v>
      </c>
      <c r="C99" s="99">
        <v>2</v>
      </c>
      <c r="D99" s="13">
        <v>1</v>
      </c>
      <c r="E99">
        <v>2</v>
      </c>
      <c r="F99" t="s">
        <v>327</v>
      </c>
      <c r="G99" s="13"/>
      <c r="H99" t="s">
        <v>328</v>
      </c>
      <c r="I99" s="13">
        <v>-1</v>
      </c>
      <c r="J99">
        <v>0</v>
      </c>
      <c r="K99">
        <v>45</v>
      </c>
      <c r="M99" s="2"/>
      <c r="N99" s="57">
        <v>52</v>
      </c>
      <c r="O99" s="4">
        <v>57</v>
      </c>
      <c r="P99" s="18">
        <v>62</v>
      </c>
      <c r="Q99" s="3"/>
      <c r="R99" s="19">
        <v>50</v>
      </c>
      <c r="S99" s="4"/>
      <c r="T99" s="4">
        <f t="shared" si="1"/>
        <v>135</v>
      </c>
      <c r="U99" s="4">
        <f t="shared" si="2"/>
        <v>120</v>
      </c>
      <c r="V99" s="3">
        <f t="shared" si="3"/>
        <v>105</v>
      </c>
      <c r="X99" s="2">
        <v>-1</v>
      </c>
      <c r="Y99" s="20" t="s">
        <v>47</v>
      </c>
      <c r="Z99" s="22">
        <v>1</v>
      </c>
      <c r="AA99" s="22">
        <v>2</v>
      </c>
      <c r="AB99" s="3"/>
      <c r="AC99" s="2">
        <v>-1</v>
      </c>
      <c r="AD99" s="4">
        <v>0</v>
      </c>
      <c r="AE99" s="4"/>
      <c r="AF99" s="4"/>
      <c r="AG99" s="3"/>
      <c r="AI99" s="42" t="s">
        <v>182</v>
      </c>
      <c r="AJ99" s="16">
        <v>2</v>
      </c>
      <c r="AK99" s="4">
        <v>15</v>
      </c>
      <c r="AL99" s="4">
        <v>30</v>
      </c>
      <c r="AM99" s="4">
        <v>60</v>
      </c>
      <c r="AN99" s="4">
        <v>120</v>
      </c>
      <c r="AO99" s="3">
        <v>240</v>
      </c>
    </row>
    <row r="100" spans="1:48" x14ac:dyDescent="0.25">
      <c r="A100" t="s">
        <v>98</v>
      </c>
      <c r="B100" t="s">
        <v>1</v>
      </c>
      <c r="C100" s="99">
        <v>2</v>
      </c>
      <c r="D100" s="13">
        <v>-1</v>
      </c>
      <c r="E100">
        <v>3</v>
      </c>
      <c r="F100" t="s">
        <v>327</v>
      </c>
      <c r="G100" s="13"/>
      <c r="H100" t="s">
        <v>328</v>
      </c>
      <c r="I100" s="13">
        <v>-2</v>
      </c>
      <c r="J100">
        <v>0</v>
      </c>
      <c r="K100">
        <v>60</v>
      </c>
      <c r="M100" s="2"/>
      <c r="N100" s="57">
        <v>53</v>
      </c>
      <c r="O100" s="4">
        <v>58</v>
      </c>
      <c r="P100" s="18">
        <v>63</v>
      </c>
      <c r="Q100" s="3"/>
      <c r="R100" s="19">
        <v>51</v>
      </c>
      <c r="S100" s="4"/>
      <c r="T100" s="4">
        <f t="shared" si="1"/>
        <v>138</v>
      </c>
      <c r="U100" s="4">
        <f t="shared" si="2"/>
        <v>123</v>
      </c>
      <c r="V100" s="3">
        <f t="shared" si="3"/>
        <v>108</v>
      </c>
      <c r="X100" s="21" t="s">
        <v>47</v>
      </c>
      <c r="Y100" s="22">
        <v>1</v>
      </c>
      <c r="Z100" s="22">
        <v>2</v>
      </c>
      <c r="AA100" s="22">
        <v>3</v>
      </c>
      <c r="AB100" s="3"/>
      <c r="AC100" s="21" t="s">
        <v>47</v>
      </c>
      <c r="AD100" s="4">
        <v>5</v>
      </c>
      <c r="AE100" s="4">
        <v>0</v>
      </c>
      <c r="AF100" s="4"/>
      <c r="AG100" s="3"/>
      <c r="AI100" s="42" t="s">
        <v>183</v>
      </c>
      <c r="AJ100" s="16">
        <v>3</v>
      </c>
      <c r="AK100" s="4">
        <v>30</v>
      </c>
      <c r="AL100" s="4">
        <v>60</v>
      </c>
      <c r="AM100" s="4">
        <v>120</v>
      </c>
      <c r="AN100" s="4">
        <v>240</v>
      </c>
      <c r="AO100" s="3">
        <v>480</v>
      </c>
    </row>
    <row r="101" spans="1:48" x14ac:dyDescent="0.25">
      <c r="A101" s="99" t="s">
        <v>400</v>
      </c>
      <c r="B101" s="99" t="s">
        <v>1</v>
      </c>
      <c r="C101" s="99">
        <v>2</v>
      </c>
      <c r="D101" s="13">
        <v>-2</v>
      </c>
      <c r="E101" s="99">
        <v>2</v>
      </c>
      <c r="F101" s="99" t="s">
        <v>327</v>
      </c>
      <c r="G101" s="13">
        <v>1</v>
      </c>
      <c r="H101" s="99" t="s">
        <v>328</v>
      </c>
      <c r="I101" s="13">
        <v>-3</v>
      </c>
      <c r="J101" s="99">
        <v>0</v>
      </c>
      <c r="K101" s="99">
        <v>60</v>
      </c>
      <c r="M101" s="2"/>
      <c r="N101" s="57">
        <v>54</v>
      </c>
      <c r="O101" s="4">
        <v>59</v>
      </c>
      <c r="P101" s="18">
        <v>64</v>
      </c>
      <c r="Q101" s="3"/>
      <c r="R101" s="19">
        <v>52</v>
      </c>
      <c r="S101" s="4"/>
      <c r="T101" s="4">
        <f t="shared" si="1"/>
        <v>141</v>
      </c>
      <c r="U101" s="4">
        <f t="shared" si="2"/>
        <v>126</v>
      </c>
      <c r="V101" s="3">
        <f t="shared" si="3"/>
        <v>111</v>
      </c>
      <c r="X101" s="16">
        <v>1</v>
      </c>
      <c r="Y101" s="22">
        <v>2</v>
      </c>
      <c r="Z101" s="22">
        <v>3</v>
      </c>
      <c r="AA101" s="22">
        <v>4</v>
      </c>
      <c r="AB101" s="3"/>
      <c r="AC101" s="16">
        <v>1</v>
      </c>
      <c r="AD101" s="4">
        <v>10</v>
      </c>
      <c r="AE101" s="4">
        <v>5</v>
      </c>
      <c r="AF101" s="4">
        <v>0</v>
      </c>
      <c r="AG101" s="3"/>
      <c r="AI101" s="42"/>
      <c r="AJ101" s="16">
        <v>4</v>
      </c>
      <c r="AK101" s="4">
        <v>50</v>
      </c>
      <c r="AL101" s="4">
        <v>100</v>
      </c>
      <c r="AM101" s="4">
        <v>200</v>
      </c>
      <c r="AN101" s="4">
        <v>400</v>
      </c>
      <c r="AO101" s="3">
        <v>800</v>
      </c>
    </row>
    <row r="102" spans="1:48" x14ac:dyDescent="0.25">
      <c r="A102" t="s">
        <v>99</v>
      </c>
      <c r="B102" t="s">
        <v>332</v>
      </c>
      <c r="C102" s="99">
        <v>1</v>
      </c>
      <c r="D102" s="13">
        <v>1</v>
      </c>
      <c r="E102">
        <v>2</v>
      </c>
      <c r="F102" t="s">
        <v>327</v>
      </c>
      <c r="G102" s="13">
        <v>1</v>
      </c>
      <c r="H102" t="s">
        <v>328</v>
      </c>
      <c r="I102" s="13">
        <v>-4</v>
      </c>
      <c r="J102">
        <v>0</v>
      </c>
      <c r="K102">
        <v>60</v>
      </c>
      <c r="M102" s="2"/>
      <c r="N102" s="57">
        <v>55</v>
      </c>
      <c r="O102" s="4">
        <v>60</v>
      </c>
      <c r="P102" s="18">
        <v>65</v>
      </c>
      <c r="Q102" s="3"/>
      <c r="R102" s="19">
        <v>53</v>
      </c>
      <c r="S102" s="4"/>
      <c r="T102" s="4">
        <f t="shared" si="1"/>
        <v>144</v>
      </c>
      <c r="U102" s="4">
        <f t="shared" si="2"/>
        <v>129</v>
      </c>
      <c r="V102" s="3">
        <f t="shared" si="3"/>
        <v>114</v>
      </c>
      <c r="X102" s="2"/>
      <c r="Y102" s="4"/>
      <c r="Z102" s="4"/>
      <c r="AA102" s="4"/>
      <c r="AB102" s="3"/>
      <c r="AC102" s="16">
        <v>2</v>
      </c>
      <c r="AD102" s="4"/>
      <c r="AE102" s="4">
        <v>10</v>
      </c>
      <c r="AF102" s="4">
        <v>5</v>
      </c>
      <c r="AG102" s="3">
        <v>0</v>
      </c>
      <c r="AI102" s="43"/>
      <c r="AJ102" s="17">
        <v>5</v>
      </c>
      <c r="AK102" s="14">
        <v>75</v>
      </c>
      <c r="AL102" s="14">
        <v>150</v>
      </c>
      <c r="AM102" s="14">
        <v>300</v>
      </c>
      <c r="AN102" s="14">
        <v>600</v>
      </c>
      <c r="AO102" s="15">
        <v>1200</v>
      </c>
    </row>
    <row r="103" spans="1:48" x14ac:dyDescent="0.25">
      <c r="A103" t="s">
        <v>489</v>
      </c>
      <c r="B103" t="s">
        <v>102</v>
      </c>
      <c r="C103" s="99">
        <v>2</v>
      </c>
      <c r="D103" s="13">
        <v>-1</v>
      </c>
      <c r="E103">
        <v>3</v>
      </c>
      <c r="F103" t="s">
        <v>327</v>
      </c>
      <c r="I103" s="13">
        <v>-3</v>
      </c>
      <c r="J103">
        <v>0</v>
      </c>
      <c r="K103">
        <v>65</v>
      </c>
      <c r="M103" s="2"/>
      <c r="N103" s="57">
        <v>56</v>
      </c>
      <c r="O103" s="57">
        <v>61</v>
      </c>
      <c r="P103" s="18">
        <v>66</v>
      </c>
      <c r="Q103" s="3"/>
      <c r="R103" s="19">
        <v>54</v>
      </c>
      <c r="S103" s="4"/>
      <c r="T103" s="4">
        <f t="shared" si="1"/>
        <v>147</v>
      </c>
      <c r="U103" s="4">
        <f t="shared" si="2"/>
        <v>132</v>
      </c>
      <c r="V103" s="3">
        <f t="shared" si="3"/>
        <v>117</v>
      </c>
      <c r="X103" s="2"/>
      <c r="Y103" s="4"/>
      <c r="Z103" s="4"/>
      <c r="AA103" s="4"/>
      <c r="AB103" s="3"/>
      <c r="AC103" s="16">
        <v>3</v>
      </c>
      <c r="AD103" s="4"/>
      <c r="AE103" s="4"/>
      <c r="AF103" s="4">
        <v>10</v>
      </c>
      <c r="AG103" s="3">
        <v>5</v>
      </c>
    </row>
    <row r="104" spans="1:48" ht="15.75" x14ac:dyDescent="0.25">
      <c r="A104" t="s">
        <v>100</v>
      </c>
      <c r="B104" t="s">
        <v>332</v>
      </c>
      <c r="C104" s="99">
        <v>1</v>
      </c>
      <c r="D104" s="13">
        <v>2</v>
      </c>
      <c r="E104">
        <v>2</v>
      </c>
      <c r="F104" t="s">
        <v>327</v>
      </c>
      <c r="G104" s="13">
        <v>1</v>
      </c>
      <c r="H104" t="s">
        <v>328</v>
      </c>
      <c r="I104" s="13">
        <v>-3</v>
      </c>
      <c r="J104">
        <v>0</v>
      </c>
      <c r="K104">
        <v>70</v>
      </c>
      <c r="M104" s="2"/>
      <c r="N104" s="57">
        <v>57</v>
      </c>
      <c r="O104" s="57">
        <v>62</v>
      </c>
      <c r="P104" s="18">
        <v>67</v>
      </c>
      <c r="Q104" s="3"/>
      <c r="R104" s="19">
        <v>55</v>
      </c>
      <c r="S104" s="4"/>
      <c r="T104" s="4">
        <f t="shared" si="1"/>
        <v>150</v>
      </c>
      <c r="U104" s="4">
        <f t="shared" si="2"/>
        <v>135</v>
      </c>
      <c r="V104" s="3">
        <f t="shared" si="3"/>
        <v>120</v>
      </c>
      <c r="X104" s="5"/>
      <c r="Y104" s="14"/>
      <c r="Z104" s="14"/>
      <c r="AA104" s="14"/>
      <c r="AB104" s="15"/>
      <c r="AC104" s="17">
        <v>4</v>
      </c>
      <c r="AD104" s="14"/>
      <c r="AE104" s="14"/>
      <c r="AF104" s="14"/>
      <c r="AG104" s="15">
        <v>10</v>
      </c>
      <c r="AI104" s="31" t="s">
        <v>423</v>
      </c>
      <c r="AJ104" s="10"/>
      <c r="AK104" s="10"/>
      <c r="AL104" s="10"/>
      <c r="AM104" s="10"/>
      <c r="AN104" s="10"/>
      <c r="AO104" s="10"/>
      <c r="AP104" s="10"/>
      <c r="AQ104" s="10"/>
      <c r="AR104" s="10"/>
      <c r="AS104" s="1"/>
      <c r="AT104" s="4"/>
    </row>
    <row r="105" spans="1:48" x14ac:dyDescent="0.25">
      <c r="A105" t="s">
        <v>464</v>
      </c>
      <c r="B105" t="s">
        <v>1</v>
      </c>
      <c r="C105" s="99">
        <v>1</v>
      </c>
      <c r="D105" s="13">
        <v>4</v>
      </c>
      <c r="E105">
        <v>4</v>
      </c>
      <c r="F105" t="s">
        <v>327</v>
      </c>
      <c r="H105" t="s">
        <v>328</v>
      </c>
      <c r="I105" s="13">
        <v>-7</v>
      </c>
      <c r="J105">
        <v>0</v>
      </c>
      <c r="K105">
        <v>70</v>
      </c>
      <c r="M105" s="2"/>
      <c r="N105" s="57">
        <v>58</v>
      </c>
      <c r="O105" s="57">
        <v>63</v>
      </c>
      <c r="P105" s="18">
        <v>68</v>
      </c>
      <c r="Q105" s="3"/>
      <c r="R105" s="19">
        <v>56</v>
      </c>
      <c r="S105" s="4"/>
      <c r="T105" s="4">
        <f t="shared" si="1"/>
        <v>153</v>
      </c>
      <c r="U105" s="4">
        <f t="shared" si="2"/>
        <v>138</v>
      </c>
      <c r="V105" s="3">
        <f t="shared" si="3"/>
        <v>123</v>
      </c>
      <c r="AI105" s="21" t="s">
        <v>422</v>
      </c>
      <c r="AJ105" s="4" t="s">
        <v>11</v>
      </c>
      <c r="AK105" s="27" t="s">
        <v>68</v>
      </c>
      <c r="AL105" s="4" t="s">
        <v>45</v>
      </c>
      <c r="AM105" s="27" t="s">
        <v>56</v>
      </c>
      <c r="AN105" s="4" t="s">
        <v>58</v>
      </c>
      <c r="AO105" s="27" t="s">
        <v>62</v>
      </c>
      <c r="AP105" s="4" t="s">
        <v>64</v>
      </c>
      <c r="AQ105" s="20" t="s">
        <v>0</v>
      </c>
      <c r="AR105" s="4" t="s">
        <v>3</v>
      </c>
      <c r="AS105" s="6" t="s">
        <v>30</v>
      </c>
      <c r="AT105" s="20"/>
    </row>
    <row r="106" spans="1:48" x14ac:dyDescent="0.25">
      <c r="A106" s="32" t="s">
        <v>109</v>
      </c>
      <c r="D106" s="13"/>
      <c r="I106" s="13"/>
      <c r="M106" s="2"/>
      <c r="N106" s="57">
        <v>59</v>
      </c>
      <c r="O106" s="57">
        <v>64</v>
      </c>
      <c r="P106" s="18">
        <v>69</v>
      </c>
      <c r="Q106" s="3"/>
      <c r="R106" s="19">
        <v>57</v>
      </c>
      <c r="S106" s="4"/>
      <c r="T106" s="4">
        <f t="shared" si="1"/>
        <v>156</v>
      </c>
      <c r="U106" s="4">
        <f t="shared" si="2"/>
        <v>141</v>
      </c>
      <c r="V106" s="3">
        <f t="shared" si="3"/>
        <v>126</v>
      </c>
      <c r="AI106" s="2" t="s">
        <v>424</v>
      </c>
      <c r="AJ106" s="4">
        <v>0</v>
      </c>
      <c r="AK106" s="22">
        <v>0</v>
      </c>
      <c r="AL106" s="22">
        <v>0</v>
      </c>
      <c r="AM106" s="22">
        <v>0</v>
      </c>
      <c r="AN106" s="22">
        <v>1</v>
      </c>
      <c r="AO106" s="22">
        <v>0</v>
      </c>
      <c r="AP106" s="22">
        <v>0</v>
      </c>
      <c r="AQ106" s="22">
        <v>-6</v>
      </c>
      <c r="AR106" s="22">
        <v>0</v>
      </c>
      <c r="AS106" s="28">
        <v>0</v>
      </c>
      <c r="AT106" s="22"/>
    </row>
    <row r="107" spans="1:48" ht="15.75" x14ac:dyDescent="0.25">
      <c r="A107" t="s">
        <v>398</v>
      </c>
      <c r="B107" t="s">
        <v>101</v>
      </c>
      <c r="C107" s="99">
        <v>1</v>
      </c>
      <c r="D107" s="13">
        <v>-1</v>
      </c>
      <c r="E107">
        <v>2</v>
      </c>
      <c r="F107" t="s">
        <v>327</v>
      </c>
      <c r="G107" s="13"/>
      <c r="H107" t="s">
        <v>328</v>
      </c>
      <c r="I107" s="13">
        <v>-1</v>
      </c>
      <c r="J107">
        <v>0</v>
      </c>
      <c r="K107">
        <v>5</v>
      </c>
      <c r="M107" s="2"/>
      <c r="N107" s="57">
        <v>60</v>
      </c>
      <c r="O107" s="57">
        <v>65</v>
      </c>
      <c r="P107" s="18">
        <v>70</v>
      </c>
      <c r="Q107" s="3"/>
      <c r="R107" s="19">
        <v>58</v>
      </c>
      <c r="S107" s="4"/>
      <c r="T107" s="4">
        <f t="shared" si="1"/>
        <v>159</v>
      </c>
      <c r="U107" s="4">
        <f t="shared" si="2"/>
        <v>144</v>
      </c>
      <c r="V107" s="3">
        <f t="shared" si="3"/>
        <v>129</v>
      </c>
      <c r="X107" s="31" t="s">
        <v>64</v>
      </c>
      <c r="Y107" s="10"/>
      <c r="Z107" s="10"/>
      <c r="AA107" s="10"/>
      <c r="AB107" s="1"/>
      <c r="AC107" s="31" t="s">
        <v>65</v>
      </c>
      <c r="AD107" s="10"/>
      <c r="AE107" s="10"/>
      <c r="AF107" s="10"/>
      <c r="AG107" s="1"/>
      <c r="AI107" s="7" t="s">
        <v>428</v>
      </c>
      <c r="AJ107" s="4">
        <v>10</v>
      </c>
      <c r="AK107" s="22">
        <v>-1</v>
      </c>
      <c r="AL107" s="22">
        <v>0</v>
      </c>
      <c r="AM107" s="22">
        <v>0</v>
      </c>
      <c r="AN107" s="22">
        <v>1</v>
      </c>
      <c r="AO107" s="22">
        <v>0</v>
      </c>
      <c r="AP107" s="22">
        <v>0</v>
      </c>
      <c r="AQ107" s="22">
        <v>-5</v>
      </c>
      <c r="AR107" s="22">
        <v>0</v>
      </c>
      <c r="AS107" s="28">
        <v>2</v>
      </c>
      <c r="AT107" s="22"/>
    </row>
    <row r="108" spans="1:48" x14ac:dyDescent="0.25">
      <c r="A108" t="s">
        <v>467</v>
      </c>
      <c r="B108" t="s">
        <v>101</v>
      </c>
      <c r="C108" s="99">
        <v>2</v>
      </c>
      <c r="E108">
        <v>3</v>
      </c>
      <c r="F108" t="s">
        <v>327</v>
      </c>
      <c r="H108" t="s">
        <v>328</v>
      </c>
      <c r="I108" s="13">
        <v>-5</v>
      </c>
      <c r="J108">
        <v>0</v>
      </c>
      <c r="K108">
        <v>15</v>
      </c>
      <c r="M108" s="2"/>
      <c r="N108" s="57">
        <v>61</v>
      </c>
      <c r="O108" s="57">
        <v>66</v>
      </c>
      <c r="P108" s="18">
        <v>71</v>
      </c>
      <c r="Q108" s="3"/>
      <c r="R108" s="19">
        <v>59</v>
      </c>
      <c r="S108" s="4"/>
      <c r="T108" s="4">
        <f t="shared" si="1"/>
        <v>162</v>
      </c>
      <c r="U108" s="4">
        <f t="shared" si="2"/>
        <v>147</v>
      </c>
      <c r="V108" s="3">
        <f t="shared" si="3"/>
        <v>132</v>
      </c>
      <c r="X108" s="2" t="s">
        <v>36</v>
      </c>
      <c r="Y108" s="4" t="s">
        <v>37</v>
      </c>
      <c r="Z108" s="4" t="s">
        <v>38</v>
      </c>
      <c r="AA108" s="4" t="s">
        <v>39</v>
      </c>
      <c r="AB108" s="3"/>
      <c r="AC108" s="21" t="s">
        <v>64</v>
      </c>
      <c r="AD108" s="4" t="s">
        <v>36</v>
      </c>
      <c r="AE108" s="4" t="s">
        <v>37</v>
      </c>
      <c r="AF108" s="4" t="s">
        <v>38</v>
      </c>
      <c r="AG108" s="3" t="s">
        <v>39</v>
      </c>
      <c r="AI108" s="2" t="s">
        <v>425</v>
      </c>
      <c r="AJ108" s="4">
        <v>15</v>
      </c>
      <c r="AK108" s="22">
        <v>-2</v>
      </c>
      <c r="AL108" s="22">
        <v>1</v>
      </c>
      <c r="AM108" s="22">
        <v>1</v>
      </c>
      <c r="AN108" s="22">
        <v>0</v>
      </c>
      <c r="AO108" s="22">
        <v>0</v>
      </c>
      <c r="AP108" s="22">
        <v>1</v>
      </c>
      <c r="AQ108" s="22">
        <v>-4</v>
      </c>
      <c r="AR108" s="22">
        <v>0</v>
      </c>
      <c r="AS108" s="28">
        <v>4</v>
      </c>
      <c r="AT108" s="22"/>
    </row>
    <row r="109" spans="1:48" x14ac:dyDescent="0.25">
      <c r="A109" t="s">
        <v>468</v>
      </c>
      <c r="B109" t="s">
        <v>101</v>
      </c>
      <c r="C109" s="99">
        <v>2</v>
      </c>
      <c r="E109">
        <v>3</v>
      </c>
      <c r="F109" t="s">
        <v>327</v>
      </c>
      <c r="H109" t="s">
        <v>328</v>
      </c>
      <c r="I109" s="13">
        <v>-2</v>
      </c>
      <c r="J109">
        <v>0</v>
      </c>
      <c r="K109">
        <v>20</v>
      </c>
      <c r="M109" s="2"/>
      <c r="N109" s="57">
        <v>62</v>
      </c>
      <c r="O109" s="57">
        <v>67</v>
      </c>
      <c r="P109" s="18">
        <v>72</v>
      </c>
      <c r="Q109" s="3"/>
      <c r="R109" s="19">
        <v>60</v>
      </c>
      <c r="S109" s="4"/>
      <c r="T109" s="4">
        <f t="shared" si="1"/>
        <v>165</v>
      </c>
      <c r="U109" s="4">
        <f t="shared" si="2"/>
        <v>150</v>
      </c>
      <c r="V109" s="3">
        <f t="shared" si="3"/>
        <v>135</v>
      </c>
      <c r="X109" s="25">
        <v>-1</v>
      </c>
      <c r="Y109" s="20" t="s">
        <v>47</v>
      </c>
      <c r="Z109" s="4">
        <v>2</v>
      </c>
      <c r="AA109" s="4">
        <v>4</v>
      </c>
      <c r="AB109" s="3"/>
      <c r="AC109" s="25">
        <v>-1</v>
      </c>
      <c r="AD109" s="4">
        <v>0</v>
      </c>
      <c r="AE109" s="4"/>
      <c r="AF109" s="4"/>
      <c r="AG109" s="3"/>
      <c r="AI109" s="2" t="s">
        <v>426</v>
      </c>
      <c r="AJ109" s="4">
        <v>30</v>
      </c>
      <c r="AK109" s="22">
        <v>-3</v>
      </c>
      <c r="AL109" s="22">
        <v>1</v>
      </c>
      <c r="AM109" s="22">
        <v>2</v>
      </c>
      <c r="AN109" s="22">
        <v>0</v>
      </c>
      <c r="AO109" s="22">
        <v>0</v>
      </c>
      <c r="AP109" s="22">
        <v>1</v>
      </c>
      <c r="AQ109" s="22">
        <v>-3</v>
      </c>
      <c r="AR109" s="22">
        <v>0</v>
      </c>
      <c r="AS109" s="28">
        <v>8</v>
      </c>
      <c r="AT109" s="22"/>
    </row>
    <row r="110" spans="1:48" x14ac:dyDescent="0.25">
      <c r="A110" s="32" t="s">
        <v>110</v>
      </c>
      <c r="D110" s="13"/>
      <c r="I110" s="13"/>
      <c r="M110" s="2"/>
      <c r="N110" s="57">
        <v>63</v>
      </c>
      <c r="O110" s="57">
        <v>68</v>
      </c>
      <c r="P110" s="18">
        <v>73</v>
      </c>
      <c r="Q110" s="3"/>
      <c r="R110" s="19">
        <v>61</v>
      </c>
      <c r="S110" s="4"/>
      <c r="T110" s="4">
        <f t="shared" si="1"/>
        <v>168</v>
      </c>
      <c r="U110" s="4">
        <f t="shared" si="2"/>
        <v>153</v>
      </c>
      <c r="V110" s="3">
        <f t="shared" si="3"/>
        <v>138</v>
      </c>
      <c r="X110" s="21" t="s">
        <v>47</v>
      </c>
      <c r="Y110" s="23">
        <v>1</v>
      </c>
      <c r="Z110" s="4">
        <v>3</v>
      </c>
      <c r="AA110" s="4">
        <v>5</v>
      </c>
      <c r="AB110" s="3"/>
      <c r="AC110" s="21" t="s">
        <v>47</v>
      </c>
      <c r="AD110" s="4">
        <v>2</v>
      </c>
      <c r="AE110" s="4">
        <v>0</v>
      </c>
      <c r="AF110" s="4"/>
      <c r="AG110" s="3"/>
      <c r="AI110" s="5" t="s">
        <v>427</v>
      </c>
      <c r="AJ110" s="14">
        <v>45</v>
      </c>
      <c r="AK110" s="29">
        <v>-8</v>
      </c>
      <c r="AL110" s="29">
        <v>0</v>
      </c>
      <c r="AM110" s="29">
        <v>3</v>
      </c>
      <c r="AN110" s="29">
        <v>1</v>
      </c>
      <c r="AO110" s="29">
        <v>0</v>
      </c>
      <c r="AP110" s="29">
        <v>2</v>
      </c>
      <c r="AQ110" s="29">
        <v>-2</v>
      </c>
      <c r="AR110" s="29">
        <v>0</v>
      </c>
      <c r="AS110" s="30">
        <v>16</v>
      </c>
      <c r="AT110" s="22"/>
    </row>
    <row r="111" spans="1:48" x14ac:dyDescent="0.25">
      <c r="A111" t="s">
        <v>388</v>
      </c>
      <c r="B111" t="s">
        <v>101</v>
      </c>
      <c r="C111" s="99">
        <v>1</v>
      </c>
      <c r="D111" s="13">
        <v>-2</v>
      </c>
      <c r="E111">
        <v>2</v>
      </c>
      <c r="F111" t="s">
        <v>327</v>
      </c>
      <c r="G111" s="13"/>
      <c r="H111" t="s">
        <v>328</v>
      </c>
      <c r="I111" s="13"/>
      <c r="J111">
        <v>0</v>
      </c>
      <c r="K111">
        <v>5</v>
      </c>
      <c r="M111" s="2"/>
      <c r="N111" s="57">
        <v>64</v>
      </c>
      <c r="O111" s="57">
        <v>69</v>
      </c>
      <c r="P111" s="18">
        <v>74</v>
      </c>
      <c r="Q111" s="3"/>
      <c r="R111" s="19">
        <v>62</v>
      </c>
      <c r="S111" s="4"/>
      <c r="T111" s="4">
        <f t="shared" si="1"/>
        <v>171</v>
      </c>
      <c r="U111" s="4">
        <f t="shared" si="2"/>
        <v>156</v>
      </c>
      <c r="V111" s="3">
        <f t="shared" si="3"/>
        <v>141</v>
      </c>
      <c r="X111" s="25">
        <v>1</v>
      </c>
      <c r="Y111" s="4">
        <v>2</v>
      </c>
      <c r="Z111" s="4">
        <v>4</v>
      </c>
      <c r="AA111" s="4">
        <v>6</v>
      </c>
      <c r="AB111" s="3"/>
      <c r="AC111" s="25">
        <v>1</v>
      </c>
      <c r="AD111" s="4">
        <v>4</v>
      </c>
      <c r="AE111" s="4">
        <v>2</v>
      </c>
      <c r="AF111" s="4"/>
      <c r="AG111" s="3"/>
      <c r="AI111" s="4"/>
      <c r="AJ111" s="4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</row>
    <row r="112" spans="1:48" x14ac:dyDescent="0.25">
      <c r="A112" s="9" t="s">
        <v>389</v>
      </c>
      <c r="B112" t="s">
        <v>101</v>
      </c>
      <c r="C112" s="99">
        <v>1</v>
      </c>
      <c r="D112" s="13">
        <v>-1</v>
      </c>
      <c r="E112">
        <v>2</v>
      </c>
      <c r="F112" t="s">
        <v>327</v>
      </c>
      <c r="G112" s="13"/>
      <c r="H112" t="s">
        <v>328</v>
      </c>
      <c r="I112" s="13"/>
      <c r="J112">
        <v>0</v>
      </c>
      <c r="K112">
        <v>10</v>
      </c>
      <c r="M112" s="2"/>
      <c r="N112" s="57">
        <v>65</v>
      </c>
      <c r="O112" s="57">
        <v>70</v>
      </c>
      <c r="P112" s="18">
        <v>75</v>
      </c>
      <c r="Q112" s="3"/>
      <c r="R112" s="19">
        <v>63</v>
      </c>
      <c r="S112" s="4"/>
      <c r="T112" s="4">
        <f t="shared" si="1"/>
        <v>174</v>
      </c>
      <c r="U112" s="4">
        <f t="shared" si="2"/>
        <v>159</v>
      </c>
      <c r="V112" s="3">
        <f t="shared" si="3"/>
        <v>144</v>
      </c>
      <c r="X112" s="2">
        <v>2</v>
      </c>
      <c r="Y112" s="4">
        <v>3</v>
      </c>
      <c r="Z112" s="4">
        <v>5</v>
      </c>
      <c r="AA112" s="4">
        <v>7</v>
      </c>
      <c r="AB112" s="3"/>
      <c r="AC112" s="2">
        <v>2</v>
      </c>
      <c r="AD112" s="4">
        <v>6</v>
      </c>
      <c r="AE112" s="4">
        <v>4</v>
      </c>
      <c r="AF112" s="4">
        <v>0</v>
      </c>
      <c r="AG112" s="3"/>
      <c r="AI112" s="4"/>
      <c r="AJ112" s="4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</row>
    <row r="113" spans="1:48" x14ac:dyDescent="0.25">
      <c r="A113" s="9" t="s">
        <v>390</v>
      </c>
      <c r="B113" t="s">
        <v>101</v>
      </c>
      <c r="C113" s="99">
        <v>1</v>
      </c>
      <c r="D113" s="13">
        <v>0</v>
      </c>
      <c r="E113">
        <v>3</v>
      </c>
      <c r="F113" t="s">
        <v>327</v>
      </c>
      <c r="G113" s="13"/>
      <c r="H113" t="s">
        <v>328</v>
      </c>
      <c r="I113" s="13">
        <v>-5</v>
      </c>
      <c r="J113">
        <v>0</v>
      </c>
      <c r="K113">
        <v>15</v>
      </c>
      <c r="M113" s="2"/>
      <c r="N113" s="57">
        <v>66</v>
      </c>
      <c r="O113" s="57">
        <v>71</v>
      </c>
      <c r="P113" s="18">
        <v>76</v>
      </c>
      <c r="Q113" s="3"/>
      <c r="R113" s="19">
        <v>64</v>
      </c>
      <c r="S113" s="4"/>
      <c r="T113" s="4">
        <f t="shared" si="1"/>
        <v>177</v>
      </c>
      <c r="U113" s="4">
        <f t="shared" si="2"/>
        <v>162</v>
      </c>
      <c r="V113" s="3">
        <f t="shared" si="3"/>
        <v>147</v>
      </c>
      <c r="X113" s="2">
        <v>3</v>
      </c>
      <c r="Y113" s="4">
        <v>4</v>
      </c>
      <c r="Z113" s="4">
        <v>6</v>
      </c>
      <c r="AA113" s="4">
        <v>8</v>
      </c>
      <c r="AB113" s="3"/>
      <c r="AC113" s="2">
        <v>3</v>
      </c>
      <c r="AD113" s="4">
        <v>8</v>
      </c>
      <c r="AE113" s="4">
        <v>6</v>
      </c>
      <c r="AF113" s="4">
        <v>2</v>
      </c>
      <c r="AG113" s="3"/>
      <c r="AI113" s="4"/>
      <c r="AJ113" s="4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</row>
    <row r="114" spans="1:48" x14ac:dyDescent="0.25">
      <c r="A114" s="9" t="s">
        <v>391</v>
      </c>
      <c r="B114" t="s">
        <v>101</v>
      </c>
      <c r="C114" s="99">
        <v>1</v>
      </c>
      <c r="D114" s="13">
        <v>1</v>
      </c>
      <c r="E114">
        <v>3</v>
      </c>
      <c r="F114" t="s">
        <v>327</v>
      </c>
      <c r="G114" s="13"/>
      <c r="H114" t="s">
        <v>328</v>
      </c>
      <c r="I114" s="13">
        <v>-5</v>
      </c>
      <c r="J114">
        <v>0</v>
      </c>
      <c r="K114">
        <v>20</v>
      </c>
      <c r="M114" s="2"/>
      <c r="N114" s="57">
        <v>67</v>
      </c>
      <c r="O114" s="57">
        <v>72</v>
      </c>
      <c r="P114" s="18">
        <v>77</v>
      </c>
      <c r="Q114" s="3"/>
      <c r="R114" s="19">
        <v>65</v>
      </c>
      <c r="S114" s="4"/>
      <c r="T114" s="4">
        <f t="shared" si="1"/>
        <v>180</v>
      </c>
      <c r="U114" s="4">
        <f t="shared" si="2"/>
        <v>165</v>
      </c>
      <c r="V114" s="3">
        <f t="shared" si="3"/>
        <v>150</v>
      </c>
      <c r="X114" s="2"/>
      <c r="Y114" s="4"/>
      <c r="Z114" s="4"/>
      <c r="AA114" s="4"/>
      <c r="AB114" s="3"/>
      <c r="AC114" s="2">
        <v>4</v>
      </c>
      <c r="AD114" s="4"/>
      <c r="AE114" s="4">
        <v>8</v>
      </c>
      <c r="AF114" s="4">
        <v>4</v>
      </c>
      <c r="AG114" s="3">
        <v>0</v>
      </c>
    </row>
    <row r="115" spans="1:48" x14ac:dyDescent="0.25">
      <c r="A115" s="32" t="s">
        <v>111</v>
      </c>
      <c r="D115" s="13"/>
      <c r="I115" s="13"/>
      <c r="M115" s="2"/>
      <c r="N115" s="57">
        <v>68</v>
      </c>
      <c r="O115" s="57">
        <v>73</v>
      </c>
      <c r="P115" s="18">
        <v>78</v>
      </c>
      <c r="Q115" s="3"/>
      <c r="R115" s="19">
        <v>66</v>
      </c>
      <c r="S115" s="4"/>
      <c r="T115" s="4">
        <f t="shared" si="1"/>
        <v>183</v>
      </c>
      <c r="U115" s="4">
        <f t="shared" si="2"/>
        <v>168</v>
      </c>
      <c r="V115" s="3">
        <f t="shared" si="3"/>
        <v>153</v>
      </c>
      <c r="X115" s="2"/>
      <c r="Y115" s="4"/>
      <c r="Z115" s="4"/>
      <c r="AA115" s="4"/>
      <c r="AB115" s="3"/>
      <c r="AC115" s="2">
        <v>5</v>
      </c>
      <c r="AD115" s="4"/>
      <c r="AE115" s="4"/>
      <c r="AF115" s="4">
        <v>6</v>
      </c>
      <c r="AG115" s="3">
        <v>2</v>
      </c>
    </row>
    <row r="116" spans="1:48" x14ac:dyDescent="0.25">
      <c r="A116" s="9" t="s">
        <v>392</v>
      </c>
      <c r="B116" t="s">
        <v>1</v>
      </c>
      <c r="C116" s="99">
        <v>1</v>
      </c>
      <c r="D116" s="13">
        <v>-1</v>
      </c>
      <c r="E116">
        <v>2</v>
      </c>
      <c r="F116" t="s">
        <v>327</v>
      </c>
      <c r="G116" s="13"/>
      <c r="H116" t="s">
        <v>328</v>
      </c>
      <c r="I116" s="13">
        <v>4</v>
      </c>
      <c r="J116">
        <v>0</v>
      </c>
      <c r="K116">
        <v>25</v>
      </c>
      <c r="M116" s="2"/>
      <c r="N116" s="57">
        <v>69</v>
      </c>
      <c r="O116" s="57">
        <v>74</v>
      </c>
      <c r="P116" s="18">
        <v>79</v>
      </c>
      <c r="Q116" s="3"/>
      <c r="R116" s="19">
        <v>67</v>
      </c>
      <c r="S116" s="4"/>
      <c r="T116" s="4">
        <f t="shared" si="1"/>
        <v>186</v>
      </c>
      <c r="U116" s="4">
        <f t="shared" si="2"/>
        <v>171</v>
      </c>
      <c r="V116" s="3">
        <f t="shared" si="3"/>
        <v>156</v>
      </c>
      <c r="X116" s="2"/>
      <c r="Y116" s="4"/>
      <c r="Z116" s="4"/>
      <c r="AA116" s="4"/>
      <c r="AB116" s="3"/>
      <c r="AC116" s="2">
        <v>6</v>
      </c>
      <c r="AD116" s="4"/>
      <c r="AE116" s="4"/>
      <c r="AF116" s="4">
        <v>8</v>
      </c>
      <c r="AG116" s="3">
        <v>4</v>
      </c>
    </row>
    <row r="117" spans="1:48" x14ac:dyDescent="0.25">
      <c r="A117" s="9" t="s">
        <v>393</v>
      </c>
      <c r="B117" t="s">
        <v>1</v>
      </c>
      <c r="C117" s="99">
        <v>1</v>
      </c>
      <c r="D117" s="13">
        <v>0</v>
      </c>
      <c r="E117">
        <v>2</v>
      </c>
      <c r="F117" t="s">
        <v>327</v>
      </c>
      <c r="G117" s="13"/>
      <c r="H117" t="s">
        <v>328</v>
      </c>
      <c r="I117" s="13">
        <v>4</v>
      </c>
      <c r="J117">
        <v>0</v>
      </c>
      <c r="K117">
        <v>30</v>
      </c>
      <c r="M117" s="2"/>
      <c r="N117" s="57">
        <v>70</v>
      </c>
      <c r="O117" s="57">
        <v>75</v>
      </c>
      <c r="P117" s="18">
        <v>80</v>
      </c>
      <c r="Q117" s="3"/>
      <c r="R117" s="19">
        <v>68</v>
      </c>
      <c r="S117" s="4"/>
      <c r="T117" s="4">
        <f t="shared" si="1"/>
        <v>189</v>
      </c>
      <c r="U117" s="4">
        <f t="shared" si="2"/>
        <v>174</v>
      </c>
      <c r="V117" s="3">
        <f t="shared" si="3"/>
        <v>159</v>
      </c>
      <c r="X117" s="2"/>
      <c r="Y117" s="4"/>
      <c r="Z117" s="4"/>
      <c r="AA117" s="4"/>
      <c r="AB117" s="3"/>
      <c r="AC117" s="2">
        <v>7</v>
      </c>
      <c r="AD117" s="4"/>
      <c r="AE117" s="4"/>
      <c r="AF117" s="4"/>
      <c r="AG117" s="3">
        <v>6</v>
      </c>
    </row>
    <row r="118" spans="1:48" x14ac:dyDescent="0.25">
      <c r="A118" s="9" t="s">
        <v>394</v>
      </c>
      <c r="B118" t="s">
        <v>1</v>
      </c>
      <c r="C118" s="99">
        <v>1</v>
      </c>
      <c r="D118" s="13">
        <v>0</v>
      </c>
      <c r="E118">
        <v>3</v>
      </c>
      <c r="F118" t="s">
        <v>327</v>
      </c>
      <c r="G118" s="13"/>
      <c r="H118" t="s">
        <v>328</v>
      </c>
      <c r="I118" s="13">
        <v>2</v>
      </c>
      <c r="J118">
        <v>0</v>
      </c>
      <c r="K118">
        <v>35</v>
      </c>
      <c r="M118" s="2"/>
      <c r="N118" s="57">
        <v>71</v>
      </c>
      <c r="O118" s="57">
        <v>76</v>
      </c>
      <c r="P118" s="18">
        <v>81</v>
      </c>
      <c r="Q118" s="3"/>
      <c r="R118" s="19">
        <v>69</v>
      </c>
      <c r="S118" s="4"/>
      <c r="T118" s="4">
        <f t="shared" si="1"/>
        <v>192</v>
      </c>
      <c r="U118" s="4">
        <f t="shared" si="2"/>
        <v>177</v>
      </c>
      <c r="V118" s="3">
        <f t="shared" si="3"/>
        <v>162</v>
      </c>
      <c r="X118" s="5"/>
      <c r="Y118" s="14"/>
      <c r="Z118" s="14"/>
      <c r="AA118" s="14"/>
      <c r="AB118" s="15"/>
      <c r="AC118" s="5">
        <v>8</v>
      </c>
      <c r="AD118" s="14"/>
      <c r="AE118" s="14"/>
      <c r="AF118" s="14"/>
      <c r="AG118" s="15">
        <v>8</v>
      </c>
    </row>
    <row r="119" spans="1:48" x14ac:dyDescent="0.25">
      <c r="A119" s="9" t="s">
        <v>395</v>
      </c>
      <c r="B119" t="s">
        <v>1</v>
      </c>
      <c r="C119" s="99">
        <v>1</v>
      </c>
      <c r="D119" s="13">
        <v>1</v>
      </c>
      <c r="E119">
        <v>3</v>
      </c>
      <c r="F119" t="s">
        <v>327</v>
      </c>
      <c r="G119" s="13"/>
      <c r="H119" t="s">
        <v>328</v>
      </c>
      <c r="I119" s="13">
        <v>2</v>
      </c>
      <c r="J119">
        <v>0</v>
      </c>
      <c r="K119">
        <v>40</v>
      </c>
      <c r="M119" s="2"/>
      <c r="N119" s="57">
        <v>72</v>
      </c>
      <c r="O119" s="57">
        <v>77</v>
      </c>
      <c r="P119" s="18">
        <v>82</v>
      </c>
      <c r="Q119" s="3"/>
      <c r="R119" s="19">
        <v>70</v>
      </c>
      <c r="S119" s="4"/>
      <c r="T119" s="4">
        <f t="shared" si="1"/>
        <v>195</v>
      </c>
      <c r="U119" s="4">
        <f t="shared" si="2"/>
        <v>180</v>
      </c>
      <c r="V119" s="3">
        <f t="shared" si="3"/>
        <v>165</v>
      </c>
    </row>
    <row r="120" spans="1:48" x14ac:dyDescent="0.25">
      <c r="A120" s="32" t="s">
        <v>112</v>
      </c>
      <c r="D120" s="13"/>
      <c r="I120" s="13"/>
      <c r="M120" s="2"/>
      <c r="N120" s="57">
        <v>73</v>
      </c>
      <c r="O120" s="57">
        <v>78</v>
      </c>
      <c r="P120" s="18">
        <v>83</v>
      </c>
      <c r="Q120" s="3"/>
      <c r="R120" s="19">
        <v>71</v>
      </c>
      <c r="S120" s="4"/>
      <c r="T120" s="4">
        <f t="shared" ref="T120:T134" si="4">T119+3</f>
        <v>198</v>
      </c>
      <c r="U120" s="4">
        <f t="shared" si="2"/>
        <v>183</v>
      </c>
      <c r="V120" s="3">
        <f t="shared" si="3"/>
        <v>168</v>
      </c>
    </row>
    <row r="121" spans="1:48" ht="15.75" x14ac:dyDescent="0.25">
      <c r="A121" s="32" t="s">
        <v>113</v>
      </c>
      <c r="D121" s="13"/>
      <c r="I121" s="13"/>
      <c r="M121" s="2"/>
      <c r="N121" s="57">
        <v>74</v>
      </c>
      <c r="O121" s="57">
        <v>79</v>
      </c>
      <c r="P121" s="18">
        <v>84</v>
      </c>
      <c r="Q121" s="3"/>
      <c r="R121" s="19">
        <v>72</v>
      </c>
      <c r="S121" s="4"/>
      <c r="T121" s="4">
        <f t="shared" si="4"/>
        <v>201</v>
      </c>
      <c r="U121" s="4">
        <f t="shared" si="2"/>
        <v>186</v>
      </c>
      <c r="V121" s="3">
        <f t="shared" si="3"/>
        <v>171</v>
      </c>
      <c r="X121" s="31" t="s">
        <v>241</v>
      </c>
      <c r="Y121" s="10"/>
      <c r="Z121" s="1"/>
      <c r="AB121" s="181" t="s">
        <v>364</v>
      </c>
      <c r="AC121" s="10"/>
      <c r="AD121" s="10"/>
      <c r="AE121" s="10"/>
      <c r="AF121" s="10"/>
      <c r="AG121" s="10"/>
      <c r="AH121" s="1"/>
    </row>
    <row r="122" spans="1:48" x14ac:dyDescent="0.25">
      <c r="A122" s="9" t="s">
        <v>124</v>
      </c>
      <c r="B122" t="s">
        <v>101</v>
      </c>
      <c r="C122" s="99">
        <v>1</v>
      </c>
      <c r="D122" s="13">
        <v>-1</v>
      </c>
      <c r="E122">
        <v>2</v>
      </c>
      <c r="F122" t="s">
        <v>327</v>
      </c>
      <c r="G122" s="13"/>
      <c r="H122" t="s">
        <v>328</v>
      </c>
      <c r="I122" s="13">
        <v>-2</v>
      </c>
      <c r="J122">
        <v>0</v>
      </c>
      <c r="K122">
        <v>5</v>
      </c>
      <c r="M122" s="2"/>
      <c r="N122" s="57">
        <v>75</v>
      </c>
      <c r="O122" s="57">
        <v>80</v>
      </c>
      <c r="P122" s="18">
        <v>85</v>
      </c>
      <c r="Q122" s="3"/>
      <c r="R122" s="19">
        <v>73</v>
      </c>
      <c r="S122" s="4"/>
      <c r="T122" s="4">
        <f t="shared" si="4"/>
        <v>204</v>
      </c>
      <c r="U122" s="4">
        <f t="shared" si="2"/>
        <v>189</v>
      </c>
      <c r="V122" s="3">
        <f t="shared" si="3"/>
        <v>174</v>
      </c>
      <c r="X122" s="2" t="s">
        <v>240</v>
      </c>
      <c r="Y122" s="4" t="s">
        <v>11</v>
      </c>
      <c r="Z122" s="3" t="s">
        <v>242</v>
      </c>
      <c r="AB122" s="2" t="s">
        <v>240</v>
      </c>
      <c r="AC122" s="4" t="s">
        <v>338</v>
      </c>
      <c r="AD122" s="4"/>
      <c r="AE122" s="4" t="s">
        <v>337</v>
      </c>
      <c r="AF122" s="4"/>
      <c r="AG122" s="4" t="s">
        <v>367</v>
      </c>
      <c r="AH122" s="3" t="s">
        <v>369</v>
      </c>
    </row>
    <row r="123" spans="1:48" x14ac:dyDescent="0.25">
      <c r="A123" s="9" t="s">
        <v>125</v>
      </c>
      <c r="B123" t="s">
        <v>101</v>
      </c>
      <c r="C123" s="99">
        <v>1</v>
      </c>
      <c r="D123" s="13">
        <v>0</v>
      </c>
      <c r="E123">
        <v>2</v>
      </c>
      <c r="F123" t="s">
        <v>327</v>
      </c>
      <c r="G123" s="13"/>
      <c r="H123" t="s">
        <v>328</v>
      </c>
      <c r="I123" s="13">
        <v>-1</v>
      </c>
      <c r="J123">
        <v>0</v>
      </c>
      <c r="K123">
        <v>10</v>
      </c>
      <c r="M123" s="2"/>
      <c r="N123" s="57">
        <v>76</v>
      </c>
      <c r="O123" s="57">
        <v>81</v>
      </c>
      <c r="P123" s="18">
        <v>86</v>
      </c>
      <c r="Q123" s="3"/>
      <c r="R123" s="19">
        <v>74</v>
      </c>
      <c r="S123" s="4"/>
      <c r="T123" s="4">
        <f t="shared" si="4"/>
        <v>207</v>
      </c>
      <c r="U123" s="4">
        <f t="shared" si="2"/>
        <v>192</v>
      </c>
      <c r="V123" s="3">
        <f t="shared" si="3"/>
        <v>177</v>
      </c>
      <c r="X123" s="56" t="s">
        <v>243</v>
      </c>
      <c r="Y123">
        <v>0</v>
      </c>
      <c r="Z123" s="3">
        <v>0</v>
      </c>
      <c r="AB123" s="2"/>
      <c r="AC123" s="4" t="s">
        <v>365</v>
      </c>
      <c r="AD123" s="4" t="s">
        <v>366</v>
      </c>
      <c r="AE123" s="4" t="s">
        <v>365</v>
      </c>
      <c r="AF123" s="4" t="s">
        <v>366</v>
      </c>
      <c r="AG123" s="4" t="s">
        <v>368</v>
      </c>
      <c r="AH123" s="3" t="s">
        <v>368</v>
      </c>
    </row>
    <row r="124" spans="1:48" x14ac:dyDescent="0.25">
      <c r="A124" s="9" t="s">
        <v>126</v>
      </c>
      <c r="B124" t="s">
        <v>101</v>
      </c>
      <c r="C124" s="99">
        <v>1</v>
      </c>
      <c r="D124" s="13">
        <v>1</v>
      </c>
      <c r="E124">
        <v>3</v>
      </c>
      <c r="F124" t="s">
        <v>327</v>
      </c>
      <c r="G124" s="13"/>
      <c r="H124" t="s">
        <v>328</v>
      </c>
      <c r="I124" s="13">
        <v>-4</v>
      </c>
      <c r="J124">
        <v>0</v>
      </c>
      <c r="K124">
        <v>20</v>
      </c>
      <c r="M124" s="2"/>
      <c r="N124" s="57">
        <v>77</v>
      </c>
      <c r="O124" s="57">
        <v>82</v>
      </c>
      <c r="P124" s="18">
        <v>87</v>
      </c>
      <c r="Q124" s="3"/>
      <c r="R124" s="19">
        <v>75</v>
      </c>
      <c r="S124" s="4"/>
      <c r="T124" s="4">
        <f t="shared" si="4"/>
        <v>210</v>
      </c>
      <c r="U124" s="4">
        <f t="shared" si="2"/>
        <v>195</v>
      </c>
      <c r="V124" s="3">
        <f t="shared" si="3"/>
        <v>180</v>
      </c>
      <c r="X124" s="2" t="s">
        <v>232</v>
      </c>
      <c r="Y124" s="4">
        <v>0</v>
      </c>
      <c r="Z124" s="3">
        <v>10</v>
      </c>
      <c r="AB124" s="2" t="s">
        <v>234</v>
      </c>
      <c r="AC124" s="22">
        <v>1</v>
      </c>
      <c r="AD124" s="22">
        <v>-1</v>
      </c>
      <c r="AE124" s="22">
        <v>-2</v>
      </c>
      <c r="AF124" s="22">
        <v>-2</v>
      </c>
      <c r="AG124" s="22">
        <v>1</v>
      </c>
      <c r="AH124" s="28" t="s">
        <v>370</v>
      </c>
    </row>
    <row r="125" spans="1:48" x14ac:dyDescent="0.25">
      <c r="A125" s="9" t="s">
        <v>127</v>
      </c>
      <c r="B125" t="s">
        <v>102</v>
      </c>
      <c r="C125" s="99">
        <v>1</v>
      </c>
      <c r="D125" s="13">
        <v>-1</v>
      </c>
      <c r="E125">
        <v>3</v>
      </c>
      <c r="F125" t="s">
        <v>327</v>
      </c>
      <c r="G125" s="13"/>
      <c r="H125" t="s">
        <v>328</v>
      </c>
      <c r="I125" s="13">
        <v>-3</v>
      </c>
      <c r="J125">
        <v>0</v>
      </c>
      <c r="K125">
        <v>25</v>
      </c>
      <c r="M125" s="2"/>
      <c r="N125" s="57">
        <v>78</v>
      </c>
      <c r="O125" s="57">
        <v>83</v>
      </c>
      <c r="P125" s="18">
        <v>88</v>
      </c>
      <c r="Q125" s="3"/>
      <c r="R125" s="19">
        <v>76</v>
      </c>
      <c r="S125" s="4"/>
      <c r="T125" s="4">
        <f t="shared" si="4"/>
        <v>213</v>
      </c>
      <c r="U125" s="4">
        <f t="shared" ref="U125:U188" si="5">U124+3</f>
        <v>198</v>
      </c>
      <c r="V125" s="3">
        <f t="shared" si="3"/>
        <v>183</v>
      </c>
      <c r="X125" s="2" t="s">
        <v>233</v>
      </c>
      <c r="Y125" s="4">
        <v>0</v>
      </c>
      <c r="Z125" s="3">
        <v>10</v>
      </c>
      <c r="AB125" s="2" t="s">
        <v>233</v>
      </c>
      <c r="AC125" s="22">
        <v>0</v>
      </c>
      <c r="AD125" s="22">
        <v>0</v>
      </c>
      <c r="AE125" s="22">
        <v>1</v>
      </c>
      <c r="AF125" s="22">
        <v>0</v>
      </c>
      <c r="AG125" s="22">
        <v>1</v>
      </c>
      <c r="AH125" s="28" t="s">
        <v>370</v>
      </c>
    </row>
    <row r="126" spans="1:48" x14ac:dyDescent="0.25">
      <c r="A126" s="32" t="s">
        <v>114</v>
      </c>
      <c r="D126" s="13"/>
      <c r="I126" s="13"/>
      <c r="M126" s="2"/>
      <c r="N126" s="57">
        <v>79</v>
      </c>
      <c r="O126" s="57">
        <v>84</v>
      </c>
      <c r="P126" s="18">
        <v>89</v>
      </c>
      <c r="Q126" s="3"/>
      <c r="R126" s="19">
        <v>77</v>
      </c>
      <c r="S126" s="4"/>
      <c r="T126" s="4">
        <f t="shared" si="4"/>
        <v>216</v>
      </c>
      <c r="U126" s="4">
        <f t="shared" si="5"/>
        <v>201</v>
      </c>
      <c r="V126" s="3">
        <f t="shared" si="3"/>
        <v>186</v>
      </c>
      <c r="X126" s="2" t="s">
        <v>234</v>
      </c>
      <c r="Y126" s="4">
        <v>50</v>
      </c>
      <c r="Z126" s="3">
        <v>10</v>
      </c>
      <c r="AB126" s="2" t="s">
        <v>232</v>
      </c>
      <c r="AC126" s="22">
        <v>2</v>
      </c>
      <c r="AD126" s="22">
        <v>2</v>
      </c>
      <c r="AE126" s="22">
        <v>0</v>
      </c>
      <c r="AF126" s="22">
        <v>-1</v>
      </c>
      <c r="AG126" s="22">
        <v>2</v>
      </c>
      <c r="AH126" s="28" t="s">
        <v>370</v>
      </c>
    </row>
    <row r="127" spans="1:48" x14ac:dyDescent="0.25">
      <c r="A127" s="9" t="s">
        <v>128</v>
      </c>
      <c r="B127" t="s">
        <v>101</v>
      </c>
      <c r="C127" s="99">
        <v>1</v>
      </c>
      <c r="D127" s="13">
        <v>-1</v>
      </c>
      <c r="E127">
        <v>2</v>
      </c>
      <c r="F127" t="s">
        <v>327</v>
      </c>
      <c r="G127" s="13"/>
      <c r="H127" t="s">
        <v>328</v>
      </c>
      <c r="I127" s="13"/>
      <c r="J127">
        <v>0</v>
      </c>
      <c r="K127">
        <v>10</v>
      </c>
      <c r="M127" s="2"/>
      <c r="N127" s="57">
        <v>80</v>
      </c>
      <c r="O127" s="57">
        <v>85</v>
      </c>
      <c r="P127" s="18">
        <v>90</v>
      </c>
      <c r="Q127" s="3"/>
      <c r="R127" s="19">
        <v>78</v>
      </c>
      <c r="S127" s="4"/>
      <c r="T127" s="4">
        <f t="shared" si="4"/>
        <v>219</v>
      </c>
      <c r="U127" s="4">
        <f t="shared" si="5"/>
        <v>204</v>
      </c>
      <c r="V127" s="3">
        <f t="shared" si="3"/>
        <v>189</v>
      </c>
      <c r="X127" s="2" t="s">
        <v>235</v>
      </c>
      <c r="Y127" s="4">
        <v>100</v>
      </c>
      <c r="Z127" s="3">
        <v>11</v>
      </c>
      <c r="AB127" s="2" t="s">
        <v>237</v>
      </c>
      <c r="AC127" s="22">
        <v>1</v>
      </c>
      <c r="AD127" s="22">
        <v>-1</v>
      </c>
      <c r="AE127" s="22">
        <v>2</v>
      </c>
      <c r="AF127" s="22">
        <v>-1</v>
      </c>
      <c r="AG127" s="22">
        <v>-1</v>
      </c>
      <c r="AH127" s="28" t="s">
        <v>370</v>
      </c>
    </row>
    <row r="128" spans="1:48" x14ac:dyDescent="0.25">
      <c r="A128" s="9" t="s">
        <v>129</v>
      </c>
      <c r="B128" t="s">
        <v>101</v>
      </c>
      <c r="C128" s="99">
        <v>1</v>
      </c>
      <c r="D128" s="13">
        <v>0</v>
      </c>
      <c r="E128">
        <v>1</v>
      </c>
      <c r="F128" t="s">
        <v>327</v>
      </c>
      <c r="G128" s="13">
        <v>1</v>
      </c>
      <c r="H128" t="s">
        <v>328</v>
      </c>
      <c r="I128" s="13">
        <v>-1</v>
      </c>
      <c r="J128">
        <v>0</v>
      </c>
      <c r="K128">
        <v>15</v>
      </c>
      <c r="M128" s="2"/>
      <c r="N128" s="57">
        <v>81</v>
      </c>
      <c r="O128" s="57">
        <v>86</v>
      </c>
      <c r="P128" s="18">
        <v>91</v>
      </c>
      <c r="Q128" s="3"/>
      <c r="R128" s="19">
        <v>79</v>
      </c>
      <c r="S128" s="4"/>
      <c r="T128" s="4">
        <f t="shared" si="4"/>
        <v>222</v>
      </c>
      <c r="U128" s="4">
        <f t="shared" si="5"/>
        <v>207</v>
      </c>
      <c r="V128" s="3">
        <f t="shared" si="3"/>
        <v>192</v>
      </c>
      <c r="X128" s="2" t="s">
        <v>236</v>
      </c>
      <c r="Y128" s="4">
        <v>100</v>
      </c>
      <c r="Z128" s="3">
        <v>12</v>
      </c>
      <c r="AB128" s="2" t="s">
        <v>235</v>
      </c>
      <c r="AC128" s="22">
        <v>1</v>
      </c>
      <c r="AD128" s="22">
        <v>2</v>
      </c>
      <c r="AE128" s="22">
        <v>0</v>
      </c>
      <c r="AF128" s="22">
        <v>-3</v>
      </c>
      <c r="AG128" s="22">
        <v>2</v>
      </c>
      <c r="AH128" s="28" t="s">
        <v>371</v>
      </c>
    </row>
    <row r="129" spans="1:42" x14ac:dyDescent="0.25">
      <c r="A129" s="9" t="s">
        <v>130</v>
      </c>
      <c r="B129" t="s">
        <v>1</v>
      </c>
      <c r="C129" s="99">
        <v>1</v>
      </c>
      <c r="D129" s="13">
        <v>-2</v>
      </c>
      <c r="E129">
        <v>3</v>
      </c>
      <c r="F129" t="s">
        <v>327</v>
      </c>
      <c r="G129" s="13"/>
      <c r="H129" t="s">
        <v>328</v>
      </c>
      <c r="I129" s="13">
        <v>-2</v>
      </c>
      <c r="J129">
        <v>0</v>
      </c>
      <c r="K129">
        <v>25</v>
      </c>
      <c r="M129" s="2"/>
      <c r="N129" s="57">
        <v>82</v>
      </c>
      <c r="O129" s="57">
        <v>87</v>
      </c>
      <c r="P129" s="18">
        <v>92</v>
      </c>
      <c r="Q129" s="3"/>
      <c r="R129" s="19">
        <v>80</v>
      </c>
      <c r="S129" s="4"/>
      <c r="T129" s="4">
        <f t="shared" si="4"/>
        <v>225</v>
      </c>
      <c r="U129" s="4">
        <f t="shared" si="5"/>
        <v>210</v>
      </c>
      <c r="V129" s="3">
        <f t="shared" si="3"/>
        <v>195</v>
      </c>
      <c r="X129" s="2" t="s">
        <v>237</v>
      </c>
      <c r="Y129" s="4">
        <v>50</v>
      </c>
      <c r="Z129" s="3">
        <v>10</v>
      </c>
      <c r="AB129" s="2" t="s">
        <v>236</v>
      </c>
      <c r="AC129" s="22">
        <v>1</v>
      </c>
      <c r="AD129" s="22">
        <v>3</v>
      </c>
      <c r="AE129" s="22">
        <v>0</v>
      </c>
      <c r="AF129" s="22">
        <v>-3</v>
      </c>
      <c r="AG129" s="22">
        <v>2</v>
      </c>
      <c r="AH129" s="28" t="s">
        <v>372</v>
      </c>
    </row>
    <row r="130" spans="1:42" x14ac:dyDescent="0.25">
      <c r="A130" s="9" t="s">
        <v>131</v>
      </c>
      <c r="B130" t="s">
        <v>102</v>
      </c>
      <c r="C130" s="99">
        <v>1</v>
      </c>
      <c r="D130" s="13">
        <v>0</v>
      </c>
      <c r="E130">
        <v>2</v>
      </c>
      <c r="F130" t="s">
        <v>327</v>
      </c>
      <c r="G130" s="13">
        <v>1</v>
      </c>
      <c r="H130" t="s">
        <v>328</v>
      </c>
      <c r="I130" s="13">
        <v>-3</v>
      </c>
      <c r="J130">
        <v>0</v>
      </c>
      <c r="K130">
        <v>35</v>
      </c>
      <c r="M130" s="2"/>
      <c r="N130" s="57">
        <v>83</v>
      </c>
      <c r="O130" s="57">
        <v>88</v>
      </c>
      <c r="P130" s="18">
        <v>93</v>
      </c>
      <c r="Q130" s="3"/>
      <c r="R130" s="19">
        <v>81</v>
      </c>
      <c r="S130" s="4"/>
      <c r="T130" s="4">
        <f t="shared" si="4"/>
        <v>228</v>
      </c>
      <c r="U130" s="4">
        <f t="shared" si="5"/>
        <v>213</v>
      </c>
      <c r="V130" s="3">
        <f t="shared" ref="V130:V193" si="6">V129+3</f>
        <v>198</v>
      </c>
      <c r="X130" s="2" t="s">
        <v>238</v>
      </c>
      <c r="Y130" s="4">
        <v>100</v>
      </c>
      <c r="Z130" s="3">
        <v>11</v>
      </c>
      <c r="AB130" s="2" t="s">
        <v>238</v>
      </c>
      <c r="AC130" s="22">
        <v>0</v>
      </c>
      <c r="AD130" s="22">
        <v>4</v>
      </c>
      <c r="AE130" s="22">
        <v>-1</v>
      </c>
      <c r="AF130" s="22">
        <v>5</v>
      </c>
      <c r="AG130" s="22">
        <v>2</v>
      </c>
      <c r="AH130" s="28" t="s">
        <v>373</v>
      </c>
    </row>
    <row r="131" spans="1:42" x14ac:dyDescent="0.25">
      <c r="A131" s="32" t="s">
        <v>115</v>
      </c>
      <c r="D131" s="13"/>
      <c r="I131" s="13"/>
      <c r="M131" s="2"/>
      <c r="N131" s="57">
        <v>84</v>
      </c>
      <c r="O131" s="57">
        <v>89</v>
      </c>
      <c r="P131" s="18">
        <v>94</v>
      </c>
      <c r="Q131" s="3"/>
      <c r="R131" s="19">
        <v>82</v>
      </c>
      <c r="S131" s="4"/>
      <c r="T131" s="4">
        <f t="shared" si="4"/>
        <v>231</v>
      </c>
      <c r="U131" s="4">
        <f t="shared" si="5"/>
        <v>216</v>
      </c>
      <c r="V131" s="3">
        <f t="shared" si="6"/>
        <v>201</v>
      </c>
      <c r="X131" s="5" t="s">
        <v>239</v>
      </c>
      <c r="Y131" s="14">
        <v>100</v>
      </c>
      <c r="Z131" s="15">
        <v>12</v>
      </c>
      <c r="AB131" s="5" t="s">
        <v>239</v>
      </c>
      <c r="AC131" s="29">
        <v>1</v>
      </c>
      <c r="AD131" s="29">
        <v>3</v>
      </c>
      <c r="AE131" s="29">
        <v>0</v>
      </c>
      <c r="AF131" s="29">
        <v>-1</v>
      </c>
      <c r="AG131" s="29">
        <v>2</v>
      </c>
      <c r="AH131" s="30" t="s">
        <v>374</v>
      </c>
    </row>
    <row r="132" spans="1:42" x14ac:dyDescent="0.25">
      <c r="A132" s="9" t="s">
        <v>132</v>
      </c>
      <c r="B132" t="s">
        <v>101</v>
      </c>
      <c r="C132" s="99">
        <v>1</v>
      </c>
      <c r="D132" s="13">
        <v>0</v>
      </c>
      <c r="E132">
        <v>2</v>
      </c>
      <c r="F132" t="s">
        <v>327</v>
      </c>
      <c r="G132" s="13"/>
      <c r="H132" t="s">
        <v>328</v>
      </c>
      <c r="I132" s="13"/>
      <c r="J132">
        <v>0</v>
      </c>
      <c r="K132">
        <v>15</v>
      </c>
      <c r="M132" s="2"/>
      <c r="N132" s="57">
        <v>85</v>
      </c>
      <c r="O132" s="57">
        <v>90</v>
      </c>
      <c r="P132" s="18">
        <v>95</v>
      </c>
      <c r="Q132" s="3"/>
      <c r="R132" s="19">
        <v>83</v>
      </c>
      <c r="S132" s="4"/>
      <c r="T132" s="4">
        <f t="shared" si="4"/>
        <v>234</v>
      </c>
      <c r="U132" s="4">
        <f t="shared" si="5"/>
        <v>219</v>
      </c>
      <c r="V132" s="3">
        <f t="shared" si="6"/>
        <v>204</v>
      </c>
    </row>
    <row r="133" spans="1:42" x14ac:dyDescent="0.25">
      <c r="A133" s="9" t="s">
        <v>133</v>
      </c>
      <c r="B133" t="s">
        <v>101</v>
      </c>
      <c r="C133" s="99">
        <v>1</v>
      </c>
      <c r="D133" s="13">
        <v>1</v>
      </c>
      <c r="E133">
        <v>1</v>
      </c>
      <c r="F133" t="s">
        <v>327</v>
      </c>
      <c r="G133" s="13">
        <v>1</v>
      </c>
      <c r="H133" t="s">
        <v>328</v>
      </c>
      <c r="I133" s="13">
        <v>-1</v>
      </c>
      <c r="J133">
        <v>0</v>
      </c>
      <c r="K133">
        <v>20</v>
      </c>
      <c r="M133" s="2"/>
      <c r="N133" s="4"/>
      <c r="O133" s="57">
        <v>91</v>
      </c>
      <c r="P133" s="18">
        <v>96</v>
      </c>
      <c r="Q133" s="3"/>
      <c r="R133" s="19">
        <v>84</v>
      </c>
      <c r="S133" s="4"/>
      <c r="T133" s="4">
        <f t="shared" si="4"/>
        <v>237</v>
      </c>
      <c r="U133" s="4">
        <f t="shared" si="5"/>
        <v>222</v>
      </c>
      <c r="V133" s="3">
        <f t="shared" si="6"/>
        <v>207</v>
      </c>
    </row>
    <row r="134" spans="1:42" ht="15.75" x14ac:dyDescent="0.25">
      <c r="A134" s="9" t="s">
        <v>134</v>
      </c>
      <c r="B134" t="s">
        <v>102</v>
      </c>
      <c r="C134" s="99">
        <v>1</v>
      </c>
      <c r="D134" s="13">
        <v>0</v>
      </c>
      <c r="E134">
        <v>3</v>
      </c>
      <c r="F134" t="s">
        <v>327</v>
      </c>
      <c r="G134" s="13"/>
      <c r="H134" t="s">
        <v>328</v>
      </c>
      <c r="I134" s="13">
        <v>-2</v>
      </c>
      <c r="J134">
        <v>0</v>
      </c>
      <c r="K134">
        <v>30</v>
      </c>
      <c r="M134" s="2"/>
      <c r="N134" s="4"/>
      <c r="O134" s="57">
        <v>92</v>
      </c>
      <c r="P134" s="18">
        <v>97</v>
      </c>
      <c r="Q134" s="3"/>
      <c r="R134" s="19">
        <v>85</v>
      </c>
      <c r="S134" s="4"/>
      <c r="T134" s="4">
        <f t="shared" si="4"/>
        <v>240</v>
      </c>
      <c r="U134" s="4">
        <f t="shared" si="5"/>
        <v>225</v>
      </c>
      <c r="V134" s="3">
        <f t="shared" si="6"/>
        <v>210</v>
      </c>
      <c r="X134" s="31" t="s">
        <v>247</v>
      </c>
      <c r="Y134" s="10"/>
      <c r="Z134" s="10"/>
      <c r="AA134" s="10"/>
      <c r="AB134" s="10"/>
      <c r="AC134" s="10"/>
      <c r="AD134" s="10"/>
      <c r="AE134" s="10"/>
      <c r="AF134" s="1"/>
      <c r="AG134" s="31" t="s">
        <v>248</v>
      </c>
      <c r="AH134" s="10"/>
      <c r="AI134" s="10"/>
      <c r="AJ134" s="10"/>
      <c r="AK134" s="10"/>
      <c r="AL134" s="10"/>
      <c r="AM134" s="10"/>
      <c r="AN134" s="10"/>
      <c r="AO134" s="10"/>
      <c r="AP134" s="1"/>
    </row>
    <row r="135" spans="1:42" x14ac:dyDescent="0.25">
      <c r="A135" s="9" t="s">
        <v>135</v>
      </c>
      <c r="B135" t="s">
        <v>1</v>
      </c>
      <c r="C135" s="99">
        <v>1</v>
      </c>
      <c r="D135" s="13">
        <v>-1</v>
      </c>
      <c r="E135">
        <v>4</v>
      </c>
      <c r="F135" t="s">
        <v>327</v>
      </c>
      <c r="G135" s="13"/>
      <c r="H135" t="s">
        <v>328</v>
      </c>
      <c r="I135" s="13">
        <v>-3</v>
      </c>
      <c r="J135">
        <v>0</v>
      </c>
      <c r="K135">
        <v>45</v>
      </c>
      <c r="M135" s="2"/>
      <c r="N135" s="4"/>
      <c r="O135" s="57">
        <v>93</v>
      </c>
      <c r="P135" s="18">
        <v>98</v>
      </c>
      <c r="Q135" s="3"/>
      <c r="R135" s="19">
        <v>86</v>
      </c>
      <c r="S135" s="4"/>
      <c r="T135" s="4"/>
      <c r="U135" s="4">
        <f t="shared" si="5"/>
        <v>228</v>
      </c>
      <c r="V135" s="3">
        <f t="shared" si="6"/>
        <v>213</v>
      </c>
      <c r="X135" s="2" t="s">
        <v>243</v>
      </c>
      <c r="Y135" s="4" t="s">
        <v>232</v>
      </c>
      <c r="Z135" s="4" t="s">
        <v>233</v>
      </c>
      <c r="AA135" s="4" t="s">
        <v>234</v>
      </c>
      <c r="AB135" s="4" t="s">
        <v>235</v>
      </c>
      <c r="AC135" s="4" t="s">
        <v>236</v>
      </c>
      <c r="AD135" s="4" t="s">
        <v>237</v>
      </c>
      <c r="AE135" s="4" t="s">
        <v>238</v>
      </c>
      <c r="AF135" s="3" t="s">
        <v>239</v>
      </c>
      <c r="AG135" s="2" t="s">
        <v>249</v>
      </c>
      <c r="AH135" s="57" t="s">
        <v>243</v>
      </c>
      <c r="AI135" s="4" t="s">
        <v>232</v>
      </c>
      <c r="AJ135" s="4" t="s">
        <v>233</v>
      </c>
      <c r="AK135" s="4" t="s">
        <v>234</v>
      </c>
      <c r="AL135" s="4" t="s">
        <v>235</v>
      </c>
      <c r="AM135" s="4" t="s">
        <v>236</v>
      </c>
      <c r="AN135" s="4" t="s">
        <v>237</v>
      </c>
      <c r="AO135" s="4" t="s">
        <v>238</v>
      </c>
      <c r="AP135" s="3" t="s">
        <v>239</v>
      </c>
    </row>
    <row r="136" spans="1:42" x14ac:dyDescent="0.25">
      <c r="A136" s="32" t="s">
        <v>116</v>
      </c>
      <c r="D136" s="13"/>
      <c r="I136" s="13"/>
      <c r="M136" s="2"/>
      <c r="N136" s="4"/>
      <c r="O136" s="57">
        <v>94</v>
      </c>
      <c r="P136" s="18">
        <v>99</v>
      </c>
      <c r="Q136" s="3"/>
      <c r="R136" s="19">
        <v>87</v>
      </c>
      <c r="S136" s="4"/>
      <c r="T136" s="4"/>
      <c r="U136" s="4">
        <f t="shared" si="5"/>
        <v>231</v>
      </c>
      <c r="V136" s="3">
        <f t="shared" si="6"/>
        <v>216</v>
      </c>
      <c r="X136" s="2"/>
      <c r="Y136" s="4"/>
      <c r="Z136" s="4"/>
      <c r="AA136" s="4"/>
      <c r="AB136" s="4"/>
      <c r="AC136" s="4">
        <v>12</v>
      </c>
      <c r="AD136" s="4"/>
      <c r="AE136" s="4"/>
      <c r="AF136" s="3">
        <v>12</v>
      </c>
      <c r="AG136" s="2">
        <v>12</v>
      </c>
      <c r="AH136" s="57"/>
      <c r="AI136" s="4"/>
      <c r="AJ136" s="4"/>
      <c r="AK136" s="4"/>
      <c r="AL136" s="4"/>
      <c r="AM136" s="4">
        <v>0</v>
      </c>
      <c r="AN136" s="4"/>
      <c r="AO136" s="4"/>
      <c r="AP136" s="3">
        <v>0</v>
      </c>
    </row>
    <row r="137" spans="1:42" x14ac:dyDescent="0.25">
      <c r="A137" s="9" t="s">
        <v>136</v>
      </c>
      <c r="B137" t="s">
        <v>101</v>
      </c>
      <c r="C137" s="99">
        <v>1</v>
      </c>
      <c r="D137" s="13">
        <v>0</v>
      </c>
      <c r="E137">
        <v>2</v>
      </c>
      <c r="F137" t="s">
        <v>327</v>
      </c>
      <c r="G137" s="13"/>
      <c r="H137" t="s">
        <v>328</v>
      </c>
      <c r="I137" s="13">
        <v>1</v>
      </c>
      <c r="J137">
        <v>0</v>
      </c>
      <c r="K137">
        <v>15</v>
      </c>
      <c r="M137" s="2"/>
      <c r="N137" s="4"/>
      <c r="O137" s="57">
        <v>95</v>
      </c>
      <c r="P137" s="18">
        <v>100</v>
      </c>
      <c r="Q137" s="3"/>
      <c r="R137" s="19">
        <v>88</v>
      </c>
      <c r="S137" s="4"/>
      <c r="T137" s="4"/>
      <c r="U137" s="4">
        <f t="shared" si="5"/>
        <v>234</v>
      </c>
      <c r="V137" s="3">
        <f t="shared" si="6"/>
        <v>219</v>
      </c>
      <c r="X137" s="2"/>
      <c r="Y137" s="4"/>
      <c r="Z137" s="4"/>
      <c r="AA137" s="4"/>
      <c r="AB137" s="4">
        <v>11</v>
      </c>
      <c r="AC137" s="4">
        <v>11</v>
      </c>
      <c r="AD137" s="4"/>
      <c r="AE137" s="4">
        <v>11</v>
      </c>
      <c r="AF137" s="3">
        <v>11</v>
      </c>
      <c r="AG137" s="2">
        <v>11</v>
      </c>
      <c r="AH137" s="57"/>
      <c r="AI137" s="4"/>
      <c r="AJ137" s="4"/>
      <c r="AK137" s="4"/>
      <c r="AL137" s="4">
        <v>0</v>
      </c>
      <c r="AM137" s="4">
        <v>20</v>
      </c>
      <c r="AN137" s="4"/>
      <c r="AO137" s="4">
        <v>0</v>
      </c>
      <c r="AP137" s="3">
        <v>20</v>
      </c>
    </row>
    <row r="138" spans="1:42" x14ac:dyDescent="0.25">
      <c r="A138" s="9" t="s">
        <v>137</v>
      </c>
      <c r="B138" t="s">
        <v>1</v>
      </c>
      <c r="C138" s="99">
        <v>1</v>
      </c>
      <c r="D138" s="13">
        <v>0</v>
      </c>
      <c r="E138">
        <v>2</v>
      </c>
      <c r="F138" t="s">
        <v>327</v>
      </c>
      <c r="G138" s="13"/>
      <c r="H138" t="s">
        <v>328</v>
      </c>
      <c r="I138" s="13">
        <v>2</v>
      </c>
      <c r="J138">
        <v>0</v>
      </c>
      <c r="K138">
        <v>25</v>
      </c>
      <c r="M138" s="2"/>
      <c r="N138" s="4"/>
      <c r="O138" s="57">
        <v>96</v>
      </c>
      <c r="P138" s="18">
        <v>101</v>
      </c>
      <c r="Q138" s="3"/>
      <c r="R138" s="19">
        <v>89</v>
      </c>
      <c r="S138" s="4"/>
      <c r="T138" s="4"/>
      <c r="U138" s="4">
        <f t="shared" si="5"/>
        <v>237</v>
      </c>
      <c r="V138" s="3">
        <f t="shared" si="6"/>
        <v>222</v>
      </c>
      <c r="X138" s="2"/>
      <c r="Y138" s="4">
        <v>10</v>
      </c>
      <c r="Z138" s="4">
        <v>10</v>
      </c>
      <c r="AA138" s="4">
        <v>10</v>
      </c>
      <c r="AB138" s="4">
        <v>10</v>
      </c>
      <c r="AC138" s="4">
        <v>10</v>
      </c>
      <c r="AD138" s="4">
        <v>10</v>
      </c>
      <c r="AE138" s="4">
        <v>10</v>
      </c>
      <c r="AF138" s="3">
        <v>10</v>
      </c>
      <c r="AG138" s="2">
        <v>10</v>
      </c>
      <c r="AH138" s="57"/>
      <c r="AI138" s="4">
        <v>0</v>
      </c>
      <c r="AJ138" s="4">
        <v>0</v>
      </c>
      <c r="AK138" s="4">
        <v>0</v>
      </c>
      <c r="AL138" s="4">
        <v>15</v>
      </c>
      <c r="AM138" s="4">
        <v>40</v>
      </c>
      <c r="AN138" s="4">
        <v>0</v>
      </c>
      <c r="AO138" s="4">
        <v>15</v>
      </c>
      <c r="AP138" s="3">
        <v>40</v>
      </c>
    </row>
    <row r="139" spans="1:42" x14ac:dyDescent="0.25">
      <c r="A139" s="9" t="s">
        <v>138</v>
      </c>
      <c r="B139" t="s">
        <v>1</v>
      </c>
      <c r="C139" s="99">
        <v>1</v>
      </c>
      <c r="D139" s="13">
        <v>0</v>
      </c>
      <c r="E139">
        <v>3</v>
      </c>
      <c r="F139" t="s">
        <v>327</v>
      </c>
      <c r="G139" s="13"/>
      <c r="H139" t="s">
        <v>328</v>
      </c>
      <c r="I139" s="13"/>
      <c r="J139">
        <v>0</v>
      </c>
      <c r="K139">
        <v>40</v>
      </c>
      <c r="M139" s="2"/>
      <c r="N139" s="4"/>
      <c r="O139" s="57">
        <v>97</v>
      </c>
      <c r="P139" s="18">
        <v>102</v>
      </c>
      <c r="Q139" s="3"/>
      <c r="R139" s="19">
        <v>90</v>
      </c>
      <c r="S139" s="4"/>
      <c r="T139" s="4"/>
      <c r="U139" s="4">
        <f t="shared" si="5"/>
        <v>240</v>
      </c>
      <c r="V139" s="3">
        <f t="shared" si="6"/>
        <v>225</v>
      </c>
      <c r="X139" s="2"/>
      <c r="Y139" s="4">
        <v>9</v>
      </c>
      <c r="Z139" s="4">
        <v>9</v>
      </c>
      <c r="AA139" s="4">
        <v>9</v>
      </c>
      <c r="AB139" s="4">
        <v>9</v>
      </c>
      <c r="AC139" s="4">
        <v>9</v>
      </c>
      <c r="AD139" s="4">
        <v>9</v>
      </c>
      <c r="AE139" s="4">
        <v>9</v>
      </c>
      <c r="AF139" s="3">
        <v>9</v>
      </c>
      <c r="AG139" s="2">
        <v>9</v>
      </c>
      <c r="AH139" s="57"/>
      <c r="AI139" s="4">
        <v>10</v>
      </c>
      <c r="AJ139" s="4">
        <v>10</v>
      </c>
      <c r="AK139" s="4">
        <v>10</v>
      </c>
      <c r="AL139" s="4">
        <v>30</v>
      </c>
      <c r="AM139" s="4">
        <v>60</v>
      </c>
      <c r="AN139" s="4">
        <v>10</v>
      </c>
      <c r="AO139" s="4">
        <v>30</v>
      </c>
      <c r="AP139" s="3">
        <v>60</v>
      </c>
    </row>
    <row r="140" spans="1:42" x14ac:dyDescent="0.25">
      <c r="A140" s="9" t="s">
        <v>139</v>
      </c>
      <c r="B140" t="s">
        <v>1</v>
      </c>
      <c r="C140" s="99">
        <v>1</v>
      </c>
      <c r="D140" s="13">
        <v>0</v>
      </c>
      <c r="E140">
        <v>4</v>
      </c>
      <c r="F140" t="s">
        <v>327</v>
      </c>
      <c r="G140" s="13"/>
      <c r="H140" t="s">
        <v>328</v>
      </c>
      <c r="I140" s="13">
        <v>-3</v>
      </c>
      <c r="J140">
        <v>0</v>
      </c>
      <c r="K140">
        <v>50</v>
      </c>
      <c r="M140" s="2"/>
      <c r="N140" s="4"/>
      <c r="O140" s="57">
        <v>98</v>
      </c>
      <c r="P140" s="18">
        <v>103</v>
      </c>
      <c r="Q140" s="3"/>
      <c r="R140" s="19">
        <v>91</v>
      </c>
      <c r="S140" s="4"/>
      <c r="T140" s="4"/>
      <c r="U140" s="4">
        <f t="shared" si="5"/>
        <v>243</v>
      </c>
      <c r="V140" s="3">
        <f t="shared" si="6"/>
        <v>228</v>
      </c>
      <c r="X140" s="2"/>
      <c r="Y140" s="4">
        <v>8</v>
      </c>
      <c r="Z140" s="4">
        <v>8</v>
      </c>
      <c r="AA140" s="4">
        <v>8</v>
      </c>
      <c r="AB140" s="4">
        <v>8</v>
      </c>
      <c r="AC140" s="4">
        <v>8</v>
      </c>
      <c r="AD140" s="4">
        <v>8</v>
      </c>
      <c r="AE140" s="4">
        <v>8</v>
      </c>
      <c r="AF140" s="3">
        <v>8</v>
      </c>
      <c r="AG140" s="2">
        <v>8</v>
      </c>
      <c r="AH140" s="57"/>
      <c r="AI140" s="4">
        <v>20</v>
      </c>
      <c r="AJ140" s="4">
        <v>20</v>
      </c>
      <c r="AK140" s="4">
        <v>20</v>
      </c>
      <c r="AL140" s="4">
        <v>45</v>
      </c>
      <c r="AM140" s="4">
        <v>80</v>
      </c>
      <c r="AN140" s="4">
        <v>20</v>
      </c>
      <c r="AO140" s="4">
        <v>45</v>
      </c>
      <c r="AP140" s="3">
        <v>80</v>
      </c>
    </row>
    <row r="141" spans="1:42" x14ac:dyDescent="0.25">
      <c r="A141" s="32" t="s">
        <v>117</v>
      </c>
      <c r="D141" s="13"/>
      <c r="I141" s="13"/>
      <c r="M141" s="2"/>
      <c r="N141" s="4"/>
      <c r="O141" s="57">
        <v>99</v>
      </c>
      <c r="P141" s="18">
        <v>104</v>
      </c>
      <c r="Q141" s="3"/>
      <c r="R141" s="19">
        <v>92</v>
      </c>
      <c r="S141" s="4"/>
      <c r="T141" s="4"/>
      <c r="U141" s="4">
        <f t="shared" si="5"/>
        <v>246</v>
      </c>
      <c r="V141" s="3">
        <f t="shared" si="6"/>
        <v>231</v>
      </c>
      <c r="X141" s="2"/>
      <c r="Y141" s="4">
        <v>7</v>
      </c>
      <c r="Z141" s="4">
        <v>7</v>
      </c>
      <c r="AA141" s="4">
        <v>7</v>
      </c>
      <c r="AB141" s="4">
        <v>7</v>
      </c>
      <c r="AC141" s="4">
        <v>7</v>
      </c>
      <c r="AD141" s="4">
        <v>7</v>
      </c>
      <c r="AE141" s="4">
        <v>7</v>
      </c>
      <c r="AF141" s="3">
        <v>7</v>
      </c>
      <c r="AG141" s="2">
        <v>7</v>
      </c>
      <c r="AH141" s="57"/>
      <c r="AI141" s="4">
        <v>30</v>
      </c>
      <c r="AJ141" s="4">
        <v>30</v>
      </c>
      <c r="AK141" s="4">
        <v>30</v>
      </c>
      <c r="AL141" s="4">
        <v>60</v>
      </c>
      <c r="AM141" s="4">
        <v>100</v>
      </c>
      <c r="AN141" s="4">
        <v>30</v>
      </c>
      <c r="AO141" s="4">
        <v>60</v>
      </c>
      <c r="AP141" s="3">
        <v>100</v>
      </c>
    </row>
    <row r="142" spans="1:42" x14ac:dyDescent="0.25">
      <c r="A142" s="9" t="s">
        <v>140</v>
      </c>
      <c r="B142" t="s">
        <v>1</v>
      </c>
      <c r="C142" s="99">
        <v>1</v>
      </c>
      <c r="D142" s="13">
        <v>-1</v>
      </c>
      <c r="E142">
        <v>2</v>
      </c>
      <c r="F142" t="s">
        <v>327</v>
      </c>
      <c r="G142" s="13"/>
      <c r="H142" t="s">
        <v>328</v>
      </c>
      <c r="I142" s="13">
        <v>1</v>
      </c>
      <c r="J142">
        <v>0</v>
      </c>
      <c r="K142">
        <v>20</v>
      </c>
      <c r="M142" s="2"/>
      <c r="N142" s="4"/>
      <c r="O142" s="57">
        <v>100</v>
      </c>
      <c r="P142" s="18">
        <v>105</v>
      </c>
      <c r="Q142" s="3"/>
      <c r="R142" s="19">
        <v>93</v>
      </c>
      <c r="S142" s="4"/>
      <c r="T142" s="4"/>
      <c r="U142" s="4">
        <f t="shared" si="5"/>
        <v>249</v>
      </c>
      <c r="V142" s="3">
        <f t="shared" si="6"/>
        <v>234</v>
      </c>
      <c r="X142" s="2"/>
      <c r="Y142" s="4">
        <v>6</v>
      </c>
      <c r="Z142" s="4">
        <v>6</v>
      </c>
      <c r="AA142" s="4">
        <v>6</v>
      </c>
      <c r="AB142" s="4">
        <v>6</v>
      </c>
      <c r="AC142" s="4">
        <v>6</v>
      </c>
      <c r="AD142" s="4">
        <v>6</v>
      </c>
      <c r="AE142" s="4">
        <v>6</v>
      </c>
      <c r="AF142" s="3">
        <v>6</v>
      </c>
      <c r="AG142" s="2">
        <v>6</v>
      </c>
      <c r="AH142" s="57"/>
      <c r="AI142" s="4">
        <v>40</v>
      </c>
      <c r="AJ142" s="4">
        <v>40</v>
      </c>
      <c r="AK142" s="4">
        <v>40</v>
      </c>
      <c r="AL142" s="4">
        <v>75</v>
      </c>
      <c r="AM142" s="4">
        <v>120</v>
      </c>
      <c r="AN142" s="4">
        <v>40</v>
      </c>
      <c r="AO142" s="4">
        <v>75</v>
      </c>
      <c r="AP142" s="3">
        <v>120</v>
      </c>
    </row>
    <row r="143" spans="1:42" x14ac:dyDescent="0.25">
      <c r="A143" s="9" t="s">
        <v>141</v>
      </c>
      <c r="B143" t="s">
        <v>1</v>
      </c>
      <c r="C143" s="99">
        <v>1</v>
      </c>
      <c r="D143" s="13">
        <v>-1</v>
      </c>
      <c r="E143">
        <v>1</v>
      </c>
      <c r="F143" t="s">
        <v>327</v>
      </c>
      <c r="G143" s="13">
        <v>1</v>
      </c>
      <c r="H143" t="s">
        <v>328</v>
      </c>
      <c r="I143" s="13"/>
      <c r="J143">
        <v>0</v>
      </c>
      <c r="K143">
        <v>25</v>
      </c>
      <c r="M143" s="2"/>
      <c r="N143" s="4"/>
      <c r="O143" s="57">
        <v>101</v>
      </c>
      <c r="P143" s="18">
        <v>106</v>
      </c>
      <c r="Q143" s="3"/>
      <c r="R143" s="19">
        <v>94</v>
      </c>
      <c r="S143" s="4"/>
      <c r="T143" s="4"/>
      <c r="U143" s="4">
        <f t="shared" si="5"/>
        <v>252</v>
      </c>
      <c r="V143" s="3">
        <f t="shared" si="6"/>
        <v>237</v>
      </c>
      <c r="X143" s="2"/>
      <c r="Y143" s="4">
        <v>5</v>
      </c>
      <c r="Z143" s="4">
        <v>5</v>
      </c>
      <c r="AA143" s="4">
        <v>5</v>
      </c>
      <c r="AB143" s="4">
        <v>5</v>
      </c>
      <c r="AC143" s="4">
        <v>5</v>
      </c>
      <c r="AD143" s="4">
        <v>5</v>
      </c>
      <c r="AE143" s="4">
        <v>5</v>
      </c>
      <c r="AF143" s="3">
        <v>5</v>
      </c>
      <c r="AG143" s="2">
        <v>5</v>
      </c>
      <c r="AH143" s="57"/>
      <c r="AI143" s="4">
        <v>50</v>
      </c>
      <c r="AJ143" s="4">
        <v>50</v>
      </c>
      <c r="AK143" s="4">
        <v>50</v>
      </c>
      <c r="AL143" s="4">
        <v>90</v>
      </c>
      <c r="AM143" s="4">
        <v>140</v>
      </c>
      <c r="AN143" s="4">
        <v>50</v>
      </c>
      <c r="AO143" s="4">
        <v>90</v>
      </c>
      <c r="AP143" s="3">
        <v>140</v>
      </c>
    </row>
    <row r="144" spans="1:42" x14ac:dyDescent="0.25">
      <c r="A144" s="9" t="s">
        <v>142</v>
      </c>
      <c r="B144" t="s">
        <v>1</v>
      </c>
      <c r="C144" s="99">
        <v>1</v>
      </c>
      <c r="D144" s="13">
        <v>0</v>
      </c>
      <c r="E144">
        <v>2</v>
      </c>
      <c r="F144" t="s">
        <v>327</v>
      </c>
      <c r="G144" s="13">
        <v>1</v>
      </c>
      <c r="H144" t="s">
        <v>328</v>
      </c>
      <c r="I144" s="13">
        <v>-2</v>
      </c>
      <c r="J144">
        <v>0</v>
      </c>
      <c r="K144">
        <v>45</v>
      </c>
      <c r="M144" s="2"/>
      <c r="N144" s="4"/>
      <c r="O144" s="57">
        <v>102</v>
      </c>
      <c r="P144" s="18">
        <v>107</v>
      </c>
      <c r="Q144" s="3"/>
      <c r="R144" s="19">
        <v>95</v>
      </c>
      <c r="S144" s="4"/>
      <c r="T144" s="4"/>
      <c r="U144" s="4">
        <f t="shared" si="5"/>
        <v>255</v>
      </c>
      <c r="V144" s="3">
        <f t="shared" si="6"/>
        <v>240</v>
      </c>
      <c r="X144" s="2"/>
      <c r="Y144" s="4">
        <v>4</v>
      </c>
      <c r="Z144" s="4">
        <v>4</v>
      </c>
      <c r="AA144" s="4">
        <v>4</v>
      </c>
      <c r="AB144" s="4">
        <v>4</v>
      </c>
      <c r="AC144" s="4">
        <v>4</v>
      </c>
      <c r="AD144" s="4">
        <v>4</v>
      </c>
      <c r="AE144" s="4">
        <v>4</v>
      </c>
      <c r="AF144" s="3">
        <v>4</v>
      </c>
      <c r="AG144" s="2">
        <v>4</v>
      </c>
      <c r="AH144" s="57"/>
      <c r="AI144" s="4">
        <v>60</v>
      </c>
      <c r="AJ144" s="4">
        <v>60</v>
      </c>
      <c r="AK144" s="4">
        <v>60</v>
      </c>
      <c r="AL144" s="4">
        <v>105</v>
      </c>
      <c r="AM144" s="4">
        <v>160</v>
      </c>
      <c r="AN144" s="4">
        <v>60</v>
      </c>
      <c r="AO144" s="4">
        <v>105</v>
      </c>
      <c r="AP144" s="3">
        <v>160</v>
      </c>
    </row>
    <row r="145" spans="1:42" x14ac:dyDescent="0.25">
      <c r="A145" s="9" t="s">
        <v>143</v>
      </c>
      <c r="B145" t="s">
        <v>1</v>
      </c>
      <c r="C145" s="99">
        <v>1</v>
      </c>
      <c r="D145" s="13">
        <v>1</v>
      </c>
      <c r="E145">
        <v>4</v>
      </c>
      <c r="F145" t="s">
        <v>327</v>
      </c>
      <c r="G145" s="13"/>
      <c r="H145" t="s">
        <v>328</v>
      </c>
      <c r="I145" s="13">
        <v>-2</v>
      </c>
      <c r="J145">
        <v>0</v>
      </c>
      <c r="K145">
        <v>60</v>
      </c>
      <c r="M145" s="2"/>
      <c r="N145" s="4"/>
      <c r="O145" s="57">
        <v>103</v>
      </c>
      <c r="P145" s="18">
        <v>108</v>
      </c>
      <c r="Q145" s="3"/>
      <c r="R145" s="19">
        <v>96</v>
      </c>
      <c r="S145" s="4"/>
      <c r="T145" s="4"/>
      <c r="U145" s="4">
        <f t="shared" si="5"/>
        <v>258</v>
      </c>
      <c r="V145" s="3">
        <f t="shared" si="6"/>
        <v>243</v>
      </c>
      <c r="X145" s="5"/>
      <c r="Y145" s="14">
        <v>3</v>
      </c>
      <c r="Z145" s="14">
        <v>3</v>
      </c>
      <c r="AA145" s="14">
        <v>3</v>
      </c>
      <c r="AB145" s="14">
        <v>3</v>
      </c>
      <c r="AC145" s="14">
        <v>3</v>
      </c>
      <c r="AD145" s="14">
        <v>3</v>
      </c>
      <c r="AE145" s="14">
        <v>3</v>
      </c>
      <c r="AF145" s="15">
        <v>3</v>
      </c>
      <c r="AG145" s="5">
        <v>3</v>
      </c>
      <c r="AH145" s="14"/>
      <c r="AI145" s="14">
        <v>70</v>
      </c>
      <c r="AJ145" s="14">
        <v>70</v>
      </c>
      <c r="AK145" s="14">
        <v>70</v>
      </c>
      <c r="AL145" s="14">
        <v>120</v>
      </c>
      <c r="AM145" s="14">
        <v>180</v>
      </c>
      <c r="AN145" s="14">
        <v>70</v>
      </c>
      <c r="AO145" s="14">
        <v>120</v>
      </c>
      <c r="AP145" s="15">
        <v>180</v>
      </c>
    </row>
    <row r="146" spans="1:42" x14ac:dyDescent="0.25">
      <c r="A146" s="32" t="s">
        <v>118</v>
      </c>
      <c r="D146" s="13"/>
      <c r="I146" s="13"/>
      <c r="M146" s="2"/>
      <c r="N146" s="4"/>
      <c r="O146" s="57">
        <v>104</v>
      </c>
      <c r="P146" s="18">
        <v>109</v>
      </c>
      <c r="Q146" s="3"/>
      <c r="R146" s="19">
        <v>97</v>
      </c>
      <c r="S146" s="4"/>
      <c r="T146" s="4"/>
      <c r="U146" s="4">
        <f t="shared" si="5"/>
        <v>261</v>
      </c>
      <c r="V146" s="3">
        <f t="shared" si="6"/>
        <v>246</v>
      </c>
    </row>
    <row r="147" spans="1:42" x14ac:dyDescent="0.25">
      <c r="A147" s="9" t="s">
        <v>144</v>
      </c>
      <c r="B147" t="s">
        <v>1</v>
      </c>
      <c r="C147" s="99">
        <v>1</v>
      </c>
      <c r="D147" s="13">
        <v>0</v>
      </c>
      <c r="E147">
        <v>2</v>
      </c>
      <c r="F147" t="s">
        <v>327</v>
      </c>
      <c r="G147" s="13"/>
      <c r="H147" t="s">
        <v>328</v>
      </c>
      <c r="I147" s="13">
        <v>2</v>
      </c>
      <c r="J147">
        <v>0</v>
      </c>
      <c r="K147">
        <v>25</v>
      </c>
      <c r="M147" s="2"/>
      <c r="N147" s="4"/>
      <c r="O147" s="57">
        <v>105</v>
      </c>
      <c r="P147" s="18">
        <v>110</v>
      </c>
      <c r="Q147" s="3"/>
      <c r="R147" s="19">
        <v>98</v>
      </c>
      <c r="S147" s="4"/>
      <c r="T147" s="4"/>
      <c r="U147" s="4">
        <f t="shared" si="5"/>
        <v>264</v>
      </c>
      <c r="V147" s="3">
        <f t="shared" si="6"/>
        <v>249</v>
      </c>
    </row>
    <row r="148" spans="1:42" x14ac:dyDescent="0.25">
      <c r="A148" s="9" t="s">
        <v>145</v>
      </c>
      <c r="B148" t="s">
        <v>1</v>
      </c>
      <c r="C148" s="99">
        <v>1</v>
      </c>
      <c r="D148" s="13">
        <v>0</v>
      </c>
      <c r="E148">
        <v>1</v>
      </c>
      <c r="F148" t="s">
        <v>327</v>
      </c>
      <c r="G148" s="13">
        <v>1</v>
      </c>
      <c r="H148" t="s">
        <v>328</v>
      </c>
      <c r="I148" s="13">
        <v>1</v>
      </c>
      <c r="J148">
        <v>0</v>
      </c>
      <c r="K148">
        <v>35</v>
      </c>
      <c r="M148" s="2"/>
      <c r="N148" s="4"/>
      <c r="O148" s="57">
        <v>106</v>
      </c>
      <c r="P148" s="18">
        <v>111</v>
      </c>
      <c r="Q148" s="3"/>
      <c r="R148" s="19">
        <v>99</v>
      </c>
      <c r="S148" s="4"/>
      <c r="T148" s="4"/>
      <c r="U148" s="4">
        <f t="shared" si="5"/>
        <v>267</v>
      </c>
      <c r="V148" s="3">
        <f t="shared" si="6"/>
        <v>252</v>
      </c>
    </row>
    <row r="149" spans="1:42" x14ac:dyDescent="0.25">
      <c r="A149" s="9" t="s">
        <v>146</v>
      </c>
      <c r="B149" t="s">
        <v>1</v>
      </c>
      <c r="C149" s="99">
        <v>1</v>
      </c>
      <c r="D149" s="13">
        <v>1</v>
      </c>
      <c r="E149">
        <v>2</v>
      </c>
      <c r="F149" t="s">
        <v>327</v>
      </c>
      <c r="G149" s="13">
        <v>1</v>
      </c>
      <c r="H149" t="s">
        <v>328</v>
      </c>
      <c r="I149" s="13">
        <v>-1</v>
      </c>
      <c r="J149">
        <v>0</v>
      </c>
      <c r="K149">
        <v>55</v>
      </c>
      <c r="M149" s="2"/>
      <c r="N149" s="4"/>
      <c r="O149" s="57">
        <v>107</v>
      </c>
      <c r="P149" s="18">
        <v>112</v>
      </c>
      <c r="Q149" s="3"/>
      <c r="R149" s="19">
        <v>100</v>
      </c>
      <c r="S149" s="4"/>
      <c r="T149" s="4"/>
      <c r="U149" s="4">
        <f t="shared" si="5"/>
        <v>270</v>
      </c>
      <c r="V149" s="3">
        <f t="shared" si="6"/>
        <v>255</v>
      </c>
    </row>
    <row r="150" spans="1:42" x14ac:dyDescent="0.25">
      <c r="A150" s="9" t="s">
        <v>147</v>
      </c>
      <c r="B150" t="s">
        <v>1</v>
      </c>
      <c r="C150" s="99">
        <v>1</v>
      </c>
      <c r="D150" s="13">
        <v>1</v>
      </c>
      <c r="E150">
        <v>3</v>
      </c>
      <c r="F150" t="s">
        <v>327</v>
      </c>
      <c r="G150" s="13">
        <v>1</v>
      </c>
      <c r="H150" t="s">
        <v>328</v>
      </c>
      <c r="I150" s="13">
        <v>-2</v>
      </c>
      <c r="J150">
        <v>0</v>
      </c>
      <c r="K150">
        <v>70</v>
      </c>
      <c r="M150" s="2"/>
      <c r="N150" s="4"/>
      <c r="O150" s="57">
        <v>108</v>
      </c>
      <c r="P150" s="18">
        <v>113</v>
      </c>
      <c r="Q150" s="3"/>
      <c r="R150" s="19">
        <v>101</v>
      </c>
      <c r="S150" s="4"/>
      <c r="T150" s="4"/>
      <c r="U150" s="4">
        <f t="shared" si="5"/>
        <v>273</v>
      </c>
      <c r="V150" s="3">
        <f t="shared" si="6"/>
        <v>258</v>
      </c>
    </row>
    <row r="151" spans="1:42" x14ac:dyDescent="0.25">
      <c r="A151" s="32" t="s">
        <v>119</v>
      </c>
      <c r="D151" s="13"/>
      <c r="I151" s="13"/>
      <c r="M151" s="2"/>
      <c r="N151" s="4"/>
      <c r="O151" s="57">
        <v>109</v>
      </c>
      <c r="P151" s="18">
        <v>114</v>
      </c>
      <c r="Q151" s="3"/>
      <c r="R151" s="19">
        <v>102</v>
      </c>
      <c r="S151" s="4"/>
      <c r="T151" s="4"/>
      <c r="U151" s="4">
        <f t="shared" si="5"/>
        <v>276</v>
      </c>
      <c r="V151" s="3">
        <f t="shared" si="6"/>
        <v>261</v>
      </c>
    </row>
    <row r="152" spans="1:42" x14ac:dyDescent="0.25">
      <c r="A152" s="9" t="s">
        <v>148</v>
      </c>
      <c r="B152" t="s">
        <v>101</v>
      </c>
      <c r="C152" s="99">
        <v>1</v>
      </c>
      <c r="D152" s="13">
        <v>1</v>
      </c>
      <c r="E152">
        <v>2</v>
      </c>
      <c r="F152" t="s">
        <v>327</v>
      </c>
      <c r="G152" s="13"/>
      <c r="H152" t="s">
        <v>328</v>
      </c>
      <c r="I152" s="13">
        <v>3</v>
      </c>
      <c r="J152">
        <v>0</v>
      </c>
      <c r="K152">
        <v>25</v>
      </c>
      <c r="M152" s="2"/>
      <c r="N152" s="4"/>
      <c r="O152" s="57">
        <v>110</v>
      </c>
      <c r="P152" s="18">
        <v>115</v>
      </c>
      <c r="Q152" s="3"/>
      <c r="R152" s="19">
        <v>103</v>
      </c>
      <c r="S152" s="4"/>
      <c r="T152" s="4"/>
      <c r="U152" s="4">
        <f t="shared" si="5"/>
        <v>279</v>
      </c>
      <c r="V152" s="3">
        <f t="shared" si="6"/>
        <v>264</v>
      </c>
    </row>
    <row r="153" spans="1:42" x14ac:dyDescent="0.25">
      <c r="A153" s="9" t="s">
        <v>149</v>
      </c>
      <c r="B153" t="s">
        <v>101</v>
      </c>
      <c r="C153" s="99">
        <v>2</v>
      </c>
      <c r="D153" s="13">
        <v>0</v>
      </c>
      <c r="E153">
        <v>2</v>
      </c>
      <c r="F153" t="s">
        <v>327</v>
      </c>
      <c r="G153" s="13"/>
      <c r="H153" t="s">
        <v>328</v>
      </c>
      <c r="I153" s="13">
        <v>3</v>
      </c>
      <c r="J153">
        <v>0</v>
      </c>
      <c r="K153">
        <v>35</v>
      </c>
      <c r="M153" s="2"/>
      <c r="N153" s="4"/>
      <c r="O153" s="57">
        <v>111</v>
      </c>
      <c r="P153" s="18">
        <v>116</v>
      </c>
      <c r="Q153" s="3"/>
      <c r="R153" s="19">
        <v>104</v>
      </c>
      <c r="S153" s="4"/>
      <c r="T153" s="4"/>
      <c r="U153" s="4">
        <f t="shared" si="5"/>
        <v>282</v>
      </c>
      <c r="V153" s="3">
        <f t="shared" si="6"/>
        <v>267</v>
      </c>
    </row>
    <row r="154" spans="1:42" x14ac:dyDescent="0.25">
      <c r="A154" s="9" t="s">
        <v>150</v>
      </c>
      <c r="B154" t="s">
        <v>102</v>
      </c>
      <c r="C154" s="99">
        <v>2</v>
      </c>
      <c r="D154" s="13">
        <v>-1</v>
      </c>
      <c r="E154">
        <v>3</v>
      </c>
      <c r="F154" t="s">
        <v>327</v>
      </c>
      <c r="G154" s="13"/>
      <c r="H154" t="s">
        <v>328</v>
      </c>
      <c r="I154" s="13">
        <v>1</v>
      </c>
      <c r="J154">
        <v>0</v>
      </c>
      <c r="K154">
        <v>60</v>
      </c>
      <c r="M154" s="2"/>
      <c r="N154" s="4"/>
      <c r="O154" s="57">
        <v>112</v>
      </c>
      <c r="P154" s="18">
        <v>117</v>
      </c>
      <c r="Q154" s="3"/>
      <c r="R154" s="19">
        <v>105</v>
      </c>
      <c r="S154" s="4"/>
      <c r="T154" s="4"/>
      <c r="U154" s="4">
        <f t="shared" si="5"/>
        <v>285</v>
      </c>
      <c r="V154" s="3">
        <f t="shared" si="6"/>
        <v>270</v>
      </c>
    </row>
    <row r="155" spans="1:42" x14ac:dyDescent="0.25">
      <c r="A155" s="9" t="s">
        <v>151</v>
      </c>
      <c r="B155" t="s">
        <v>102</v>
      </c>
      <c r="C155" s="99">
        <v>2</v>
      </c>
      <c r="D155" s="13">
        <v>-2</v>
      </c>
      <c r="E155">
        <v>4</v>
      </c>
      <c r="F155" t="s">
        <v>327</v>
      </c>
      <c r="G155" s="13"/>
      <c r="H155" t="s">
        <v>328</v>
      </c>
      <c r="I155" s="13"/>
      <c r="J155">
        <v>0</v>
      </c>
      <c r="K155">
        <v>75</v>
      </c>
      <c r="M155" s="2"/>
      <c r="N155" s="4"/>
      <c r="O155" s="57">
        <v>113</v>
      </c>
      <c r="P155" s="18">
        <v>118</v>
      </c>
      <c r="Q155" s="3"/>
      <c r="R155" s="19">
        <v>106</v>
      </c>
      <c r="S155" s="4"/>
      <c r="T155" s="4"/>
      <c r="U155" s="4">
        <f t="shared" si="5"/>
        <v>288</v>
      </c>
      <c r="V155" s="3">
        <f t="shared" si="6"/>
        <v>273</v>
      </c>
    </row>
    <row r="156" spans="1:42" x14ac:dyDescent="0.25">
      <c r="A156" s="32" t="s">
        <v>120</v>
      </c>
      <c r="D156" s="13"/>
      <c r="I156" s="13"/>
      <c r="M156" s="2"/>
      <c r="N156" s="4"/>
      <c r="O156" s="57">
        <v>114</v>
      </c>
      <c r="P156" s="18">
        <v>119</v>
      </c>
      <c r="Q156" s="3"/>
      <c r="R156" s="19">
        <v>107</v>
      </c>
      <c r="S156" s="4"/>
      <c r="T156" s="4"/>
      <c r="U156" s="4">
        <f t="shared" si="5"/>
        <v>291</v>
      </c>
      <c r="V156" s="3">
        <f t="shared" si="6"/>
        <v>276</v>
      </c>
    </row>
    <row r="157" spans="1:42" x14ac:dyDescent="0.25">
      <c r="A157" s="9" t="s">
        <v>152</v>
      </c>
      <c r="B157" t="s">
        <v>1</v>
      </c>
      <c r="C157" s="99">
        <v>1</v>
      </c>
      <c r="D157" s="13">
        <v>1</v>
      </c>
      <c r="E157">
        <v>2</v>
      </c>
      <c r="F157" t="s">
        <v>327</v>
      </c>
      <c r="G157" s="13"/>
      <c r="H157" t="s">
        <v>328</v>
      </c>
      <c r="I157" s="13">
        <v>1</v>
      </c>
      <c r="J157">
        <v>0</v>
      </c>
      <c r="K157">
        <v>30</v>
      </c>
      <c r="M157" s="2"/>
      <c r="N157" s="4"/>
      <c r="O157" s="57">
        <v>115</v>
      </c>
      <c r="P157" s="18">
        <v>120</v>
      </c>
      <c r="Q157" s="3"/>
      <c r="R157" s="19">
        <v>108</v>
      </c>
      <c r="S157" s="4"/>
      <c r="T157" s="4"/>
      <c r="U157" s="4">
        <f t="shared" si="5"/>
        <v>294</v>
      </c>
      <c r="V157" s="3">
        <f t="shared" si="6"/>
        <v>279</v>
      </c>
    </row>
    <row r="158" spans="1:42" x14ac:dyDescent="0.25">
      <c r="A158" s="9" t="s">
        <v>153</v>
      </c>
      <c r="B158" t="s">
        <v>1</v>
      </c>
      <c r="C158" s="99">
        <v>1</v>
      </c>
      <c r="D158" s="13">
        <v>2</v>
      </c>
      <c r="E158">
        <v>3</v>
      </c>
      <c r="F158" t="s">
        <v>327</v>
      </c>
      <c r="G158" s="13"/>
      <c r="H158" t="s">
        <v>328</v>
      </c>
      <c r="I158" s="13"/>
      <c r="J158">
        <v>0</v>
      </c>
      <c r="K158">
        <v>50</v>
      </c>
      <c r="M158" s="2"/>
      <c r="N158" s="4"/>
      <c r="O158" s="57">
        <v>116</v>
      </c>
      <c r="P158" s="18">
        <v>121</v>
      </c>
      <c r="Q158" s="3"/>
      <c r="R158" s="19">
        <v>109</v>
      </c>
      <c r="S158" s="4"/>
      <c r="T158" s="4"/>
      <c r="U158" s="4">
        <f t="shared" si="5"/>
        <v>297</v>
      </c>
      <c r="V158" s="3">
        <f t="shared" si="6"/>
        <v>282</v>
      </c>
    </row>
    <row r="159" spans="1:42" x14ac:dyDescent="0.25">
      <c r="A159" s="9" t="s">
        <v>154</v>
      </c>
      <c r="B159" t="s">
        <v>102</v>
      </c>
      <c r="C159" s="99">
        <v>2</v>
      </c>
      <c r="D159" s="13">
        <v>0</v>
      </c>
      <c r="E159">
        <v>3</v>
      </c>
      <c r="F159" t="s">
        <v>327</v>
      </c>
      <c r="G159" s="13"/>
      <c r="H159" t="s">
        <v>328</v>
      </c>
      <c r="I159" s="13">
        <v>-1</v>
      </c>
      <c r="J159">
        <v>0</v>
      </c>
      <c r="K159">
        <v>60</v>
      </c>
      <c r="M159" s="2"/>
      <c r="N159" s="4"/>
      <c r="O159" s="57">
        <v>117</v>
      </c>
      <c r="P159" s="18">
        <v>122</v>
      </c>
      <c r="Q159" s="3"/>
      <c r="R159" s="19">
        <v>110</v>
      </c>
      <c r="S159" s="4"/>
      <c r="T159" s="4"/>
      <c r="U159" s="4">
        <f t="shared" si="5"/>
        <v>300</v>
      </c>
      <c r="V159" s="3">
        <f t="shared" si="6"/>
        <v>285</v>
      </c>
    </row>
    <row r="160" spans="1:42" x14ac:dyDescent="0.25">
      <c r="A160" s="9" t="s">
        <v>155</v>
      </c>
      <c r="B160" t="s">
        <v>102</v>
      </c>
      <c r="C160" s="99">
        <v>2</v>
      </c>
      <c r="D160" s="13">
        <v>2</v>
      </c>
      <c r="E160">
        <v>2</v>
      </c>
      <c r="F160" t="s">
        <v>327</v>
      </c>
      <c r="G160" s="13">
        <v>1</v>
      </c>
      <c r="H160" t="s">
        <v>328</v>
      </c>
      <c r="I160" s="13">
        <v>-2</v>
      </c>
      <c r="J160">
        <v>0</v>
      </c>
      <c r="K160">
        <v>70</v>
      </c>
      <c r="M160" s="2"/>
      <c r="N160" s="4"/>
      <c r="O160" s="57">
        <v>118</v>
      </c>
      <c r="P160" s="18">
        <v>123</v>
      </c>
      <c r="Q160" s="3"/>
      <c r="R160" s="19">
        <v>111</v>
      </c>
      <c r="S160" s="4"/>
      <c r="T160" s="4"/>
      <c r="U160" s="4">
        <f t="shared" si="5"/>
        <v>303</v>
      </c>
      <c r="V160" s="3">
        <f t="shared" si="6"/>
        <v>288</v>
      </c>
    </row>
    <row r="161" spans="1:22" x14ac:dyDescent="0.25">
      <c r="A161" s="32" t="s">
        <v>121</v>
      </c>
      <c r="D161" s="13"/>
      <c r="I161" s="13"/>
      <c r="M161" s="2"/>
      <c r="N161" s="4"/>
      <c r="O161" s="57">
        <v>119</v>
      </c>
      <c r="P161" s="18">
        <v>124</v>
      </c>
      <c r="Q161" s="3"/>
      <c r="R161" s="19">
        <v>112</v>
      </c>
      <c r="S161" s="4"/>
      <c r="T161" s="4"/>
      <c r="U161" s="4">
        <f t="shared" si="5"/>
        <v>306</v>
      </c>
      <c r="V161" s="3">
        <f t="shared" si="6"/>
        <v>291</v>
      </c>
    </row>
    <row r="162" spans="1:22" x14ac:dyDescent="0.25">
      <c r="A162" s="9" t="s">
        <v>156</v>
      </c>
      <c r="B162" t="s">
        <v>1</v>
      </c>
      <c r="C162" s="99">
        <v>1</v>
      </c>
      <c r="D162" s="13">
        <v>0</v>
      </c>
      <c r="E162">
        <v>2</v>
      </c>
      <c r="F162" t="s">
        <v>327</v>
      </c>
      <c r="G162" s="13"/>
      <c r="H162" t="s">
        <v>328</v>
      </c>
      <c r="I162" s="13">
        <v>6</v>
      </c>
      <c r="J162">
        <v>0</v>
      </c>
      <c r="K162">
        <v>35</v>
      </c>
      <c r="M162" s="2"/>
      <c r="N162" s="4"/>
      <c r="O162" s="57">
        <v>120</v>
      </c>
      <c r="P162" s="18">
        <v>125</v>
      </c>
      <c r="Q162" s="3"/>
      <c r="R162" s="19">
        <v>113</v>
      </c>
      <c r="S162" s="4"/>
      <c r="T162" s="4"/>
      <c r="U162" s="4">
        <f t="shared" si="5"/>
        <v>309</v>
      </c>
      <c r="V162" s="3">
        <f t="shared" si="6"/>
        <v>294</v>
      </c>
    </row>
    <row r="163" spans="1:22" x14ac:dyDescent="0.25">
      <c r="A163" s="9" t="s">
        <v>157</v>
      </c>
      <c r="B163" t="s">
        <v>102</v>
      </c>
      <c r="C163" s="99">
        <v>2</v>
      </c>
      <c r="D163" s="13">
        <v>-2</v>
      </c>
      <c r="E163">
        <v>3</v>
      </c>
      <c r="F163" t="s">
        <v>327</v>
      </c>
      <c r="G163" s="13"/>
      <c r="H163" t="s">
        <v>328</v>
      </c>
      <c r="I163" s="13">
        <v>4</v>
      </c>
      <c r="J163">
        <v>0</v>
      </c>
      <c r="K163">
        <v>60</v>
      </c>
      <c r="M163" s="2"/>
      <c r="N163" s="4"/>
      <c r="O163" s="57">
        <v>121</v>
      </c>
      <c r="P163" s="18">
        <v>126</v>
      </c>
      <c r="Q163" s="3"/>
      <c r="R163" s="19">
        <v>114</v>
      </c>
      <c r="S163" s="4"/>
      <c r="T163" s="4"/>
      <c r="U163" s="4">
        <f t="shared" si="5"/>
        <v>312</v>
      </c>
      <c r="V163" s="3">
        <f t="shared" si="6"/>
        <v>297</v>
      </c>
    </row>
    <row r="164" spans="1:22" x14ac:dyDescent="0.25">
      <c r="A164" s="9" t="s">
        <v>158</v>
      </c>
      <c r="B164" t="s">
        <v>102</v>
      </c>
      <c r="C164" s="99">
        <v>2</v>
      </c>
      <c r="D164" s="13">
        <v>-1</v>
      </c>
      <c r="E164">
        <v>4</v>
      </c>
      <c r="F164" t="s">
        <v>327</v>
      </c>
      <c r="G164" s="13"/>
      <c r="H164" t="s">
        <v>328</v>
      </c>
      <c r="I164" s="13">
        <v>3</v>
      </c>
      <c r="J164">
        <v>0</v>
      </c>
      <c r="K164">
        <v>85</v>
      </c>
      <c r="M164" s="2"/>
      <c r="N164" s="4"/>
      <c r="O164" s="57">
        <v>122</v>
      </c>
      <c r="P164" s="18">
        <v>127</v>
      </c>
      <c r="Q164" s="3"/>
      <c r="R164" s="19">
        <v>115</v>
      </c>
      <c r="S164" s="4"/>
      <c r="T164" s="4"/>
      <c r="U164" s="4">
        <f t="shared" si="5"/>
        <v>315</v>
      </c>
      <c r="V164" s="3">
        <f t="shared" si="6"/>
        <v>300</v>
      </c>
    </row>
    <row r="165" spans="1:22" x14ac:dyDescent="0.25">
      <c r="A165" s="9" t="s">
        <v>159</v>
      </c>
      <c r="B165" t="s">
        <v>102</v>
      </c>
      <c r="C165" s="99">
        <v>2</v>
      </c>
      <c r="D165" s="13">
        <v>-2</v>
      </c>
      <c r="E165">
        <v>5</v>
      </c>
      <c r="F165" t="s">
        <v>327</v>
      </c>
      <c r="G165" s="13"/>
      <c r="H165" t="s">
        <v>328</v>
      </c>
      <c r="I165" s="13">
        <v>1</v>
      </c>
      <c r="J165">
        <v>0</v>
      </c>
      <c r="K165">
        <v>110</v>
      </c>
      <c r="M165" s="2"/>
      <c r="N165" s="4"/>
      <c r="O165" s="57">
        <v>123</v>
      </c>
      <c r="P165" s="18">
        <v>128</v>
      </c>
      <c r="Q165" s="3"/>
      <c r="R165" s="19">
        <v>116</v>
      </c>
      <c r="S165" s="4"/>
      <c r="T165" s="4"/>
      <c r="U165" s="4">
        <f t="shared" si="5"/>
        <v>318</v>
      </c>
      <c r="V165" s="3">
        <f t="shared" si="6"/>
        <v>303</v>
      </c>
    </row>
    <row r="166" spans="1:22" x14ac:dyDescent="0.25">
      <c r="A166" s="32" t="s">
        <v>449</v>
      </c>
      <c r="M166" s="2"/>
      <c r="N166" s="4"/>
      <c r="O166" s="57">
        <v>124</v>
      </c>
      <c r="P166" s="18">
        <v>129</v>
      </c>
      <c r="Q166" s="3"/>
      <c r="R166" s="19">
        <v>117</v>
      </c>
      <c r="S166" s="4"/>
      <c r="T166" s="4"/>
      <c r="U166" s="4">
        <f t="shared" si="5"/>
        <v>321</v>
      </c>
      <c r="V166" s="3">
        <f t="shared" si="6"/>
        <v>306</v>
      </c>
    </row>
    <row r="167" spans="1:22" x14ac:dyDescent="0.25">
      <c r="A167" s="9" t="s">
        <v>450</v>
      </c>
      <c r="B167" s="99" t="s">
        <v>101</v>
      </c>
      <c r="C167" s="99">
        <v>-4</v>
      </c>
      <c r="D167" s="13">
        <v>-3</v>
      </c>
      <c r="E167" s="99">
        <v>2</v>
      </c>
      <c r="F167" s="99" t="s">
        <v>327</v>
      </c>
      <c r="G167" s="13"/>
      <c r="H167" s="99" t="s">
        <v>328</v>
      </c>
      <c r="I167" s="13">
        <v>6</v>
      </c>
      <c r="J167" s="99">
        <v>0</v>
      </c>
      <c r="K167" s="99">
        <v>10</v>
      </c>
      <c r="M167" s="2"/>
      <c r="N167" s="4"/>
      <c r="O167" s="57">
        <v>125</v>
      </c>
      <c r="P167" s="18">
        <v>130</v>
      </c>
      <c r="Q167" s="3"/>
      <c r="R167" s="19">
        <v>118</v>
      </c>
      <c r="S167" s="4"/>
      <c r="T167" s="4"/>
      <c r="U167" s="4">
        <f t="shared" si="5"/>
        <v>324</v>
      </c>
      <c r="V167" s="3">
        <f t="shared" si="6"/>
        <v>309</v>
      </c>
    </row>
    <row r="168" spans="1:22" x14ac:dyDescent="0.25">
      <c r="A168" s="9" t="s">
        <v>453</v>
      </c>
      <c r="B168" s="99" t="s">
        <v>101</v>
      </c>
      <c r="C168" s="99">
        <v>-4</v>
      </c>
      <c r="D168" s="13">
        <v>-2</v>
      </c>
      <c r="E168" s="99">
        <v>1</v>
      </c>
      <c r="F168" s="99" t="s">
        <v>327</v>
      </c>
      <c r="G168" s="13">
        <v>1</v>
      </c>
      <c r="H168" s="99" t="s">
        <v>328</v>
      </c>
      <c r="I168" s="13">
        <v>4</v>
      </c>
      <c r="J168" s="99">
        <v>0</v>
      </c>
      <c r="K168" s="99">
        <v>15</v>
      </c>
      <c r="M168" s="2"/>
      <c r="N168" s="4"/>
      <c r="O168" s="57">
        <v>126</v>
      </c>
      <c r="P168" s="18">
        <v>131</v>
      </c>
      <c r="Q168" s="3"/>
      <c r="R168" s="19">
        <v>119</v>
      </c>
      <c r="S168" s="4"/>
      <c r="T168" s="4"/>
      <c r="U168" s="4">
        <f t="shared" si="5"/>
        <v>327</v>
      </c>
      <c r="V168" s="3">
        <f t="shared" si="6"/>
        <v>312</v>
      </c>
    </row>
    <row r="169" spans="1:22" x14ac:dyDescent="0.25">
      <c r="A169" s="9" t="s">
        <v>451</v>
      </c>
      <c r="B169" s="99" t="s">
        <v>1</v>
      </c>
      <c r="C169" s="99">
        <v>-4</v>
      </c>
      <c r="D169" s="13">
        <v>-1</v>
      </c>
      <c r="E169" s="99">
        <v>3</v>
      </c>
      <c r="F169" s="99" t="s">
        <v>327</v>
      </c>
      <c r="G169" s="13"/>
      <c r="H169" s="99" t="s">
        <v>328</v>
      </c>
      <c r="I169" s="13">
        <v>3</v>
      </c>
      <c r="J169" s="99">
        <v>0</v>
      </c>
      <c r="K169" s="99">
        <v>25</v>
      </c>
      <c r="M169" s="2"/>
      <c r="N169" s="4"/>
      <c r="O169" s="57">
        <v>127</v>
      </c>
      <c r="P169" s="18">
        <v>132</v>
      </c>
      <c r="Q169" s="3"/>
      <c r="R169" s="19">
        <v>120</v>
      </c>
      <c r="S169" s="4"/>
      <c r="T169" s="4"/>
      <c r="U169" s="4">
        <f t="shared" si="5"/>
        <v>330</v>
      </c>
      <c r="V169" s="3">
        <f t="shared" si="6"/>
        <v>315</v>
      </c>
    </row>
    <row r="170" spans="1:22" x14ac:dyDescent="0.25">
      <c r="A170" s="9" t="s">
        <v>452</v>
      </c>
      <c r="B170" s="99" t="s">
        <v>102</v>
      </c>
      <c r="C170" s="99">
        <v>-4</v>
      </c>
      <c r="D170" s="13">
        <v>0</v>
      </c>
      <c r="E170" s="99">
        <v>2</v>
      </c>
      <c r="F170" s="99" t="s">
        <v>327</v>
      </c>
      <c r="G170" s="13">
        <v>1</v>
      </c>
      <c r="H170" s="99" t="s">
        <v>328</v>
      </c>
      <c r="I170" s="13">
        <v>1</v>
      </c>
      <c r="J170" s="99">
        <v>0</v>
      </c>
      <c r="K170" s="99">
        <v>35</v>
      </c>
      <c r="M170" s="2"/>
      <c r="N170" s="4"/>
      <c r="O170" s="57">
        <v>128</v>
      </c>
      <c r="P170" s="18">
        <v>133</v>
      </c>
      <c r="Q170" s="3"/>
      <c r="R170" s="19">
        <v>121</v>
      </c>
      <c r="S170" s="4"/>
      <c r="T170" s="4"/>
      <c r="U170" s="4">
        <f t="shared" si="5"/>
        <v>333</v>
      </c>
      <c r="V170" s="3">
        <f t="shared" si="6"/>
        <v>318</v>
      </c>
    </row>
    <row r="171" spans="1:22" x14ac:dyDescent="0.25">
      <c r="A171" s="32" t="s">
        <v>455</v>
      </c>
      <c r="M171" s="2"/>
      <c r="N171" s="4"/>
      <c r="O171" s="57">
        <v>129</v>
      </c>
      <c r="P171" s="18">
        <v>134</v>
      </c>
      <c r="Q171" s="3"/>
      <c r="R171" s="19">
        <v>122</v>
      </c>
      <c r="S171" s="4"/>
      <c r="T171" s="4"/>
      <c r="U171" s="4">
        <f t="shared" si="5"/>
        <v>336</v>
      </c>
      <c r="V171" s="3">
        <f t="shared" si="6"/>
        <v>321</v>
      </c>
    </row>
    <row r="172" spans="1:22" x14ac:dyDescent="0.25">
      <c r="A172" s="9" t="s">
        <v>456</v>
      </c>
      <c r="B172" t="s">
        <v>101</v>
      </c>
      <c r="C172" s="99">
        <v>1</v>
      </c>
      <c r="D172" s="13">
        <v>2</v>
      </c>
      <c r="E172">
        <v>1</v>
      </c>
      <c r="F172" t="s">
        <v>327</v>
      </c>
      <c r="G172" s="13">
        <v>1</v>
      </c>
      <c r="H172" t="s">
        <v>328</v>
      </c>
      <c r="J172">
        <v>3</v>
      </c>
      <c r="K172">
        <v>45</v>
      </c>
      <c r="M172" s="2"/>
      <c r="N172" s="4"/>
      <c r="O172" s="57">
        <v>130</v>
      </c>
      <c r="P172" s="18">
        <v>135</v>
      </c>
      <c r="Q172" s="3"/>
      <c r="R172" s="19">
        <v>123</v>
      </c>
      <c r="S172" s="4"/>
      <c r="T172" s="4"/>
      <c r="U172" s="4">
        <f t="shared" si="5"/>
        <v>339</v>
      </c>
      <c r="V172" s="3">
        <f t="shared" si="6"/>
        <v>324</v>
      </c>
    </row>
    <row r="173" spans="1:22" x14ac:dyDescent="0.25">
      <c r="A173" s="9" t="s">
        <v>457</v>
      </c>
      <c r="B173" t="s">
        <v>1</v>
      </c>
      <c r="C173" s="99">
        <v>2</v>
      </c>
      <c r="E173">
        <v>2</v>
      </c>
      <c r="F173" t="s">
        <v>327</v>
      </c>
      <c r="G173" s="13">
        <v>1</v>
      </c>
      <c r="H173" t="s">
        <v>328</v>
      </c>
      <c r="J173">
        <v>20</v>
      </c>
      <c r="K173">
        <v>90</v>
      </c>
      <c r="M173" s="2"/>
      <c r="N173" s="4"/>
      <c r="O173" s="57">
        <v>131</v>
      </c>
      <c r="P173" s="18">
        <v>136</v>
      </c>
      <c r="Q173" s="3"/>
      <c r="R173" s="19">
        <v>124</v>
      </c>
      <c r="S173" s="4"/>
      <c r="T173" s="4"/>
      <c r="U173" s="4">
        <f t="shared" si="5"/>
        <v>342</v>
      </c>
      <c r="V173" s="3">
        <f t="shared" si="6"/>
        <v>327</v>
      </c>
    </row>
    <row r="174" spans="1:22" x14ac:dyDescent="0.25">
      <c r="A174" s="9" t="s">
        <v>458</v>
      </c>
      <c r="B174" t="s">
        <v>1</v>
      </c>
      <c r="C174" s="99">
        <v>2</v>
      </c>
      <c r="D174" s="13"/>
      <c r="E174">
        <v>3</v>
      </c>
      <c r="F174" t="s">
        <v>327</v>
      </c>
      <c r="G174" s="13">
        <v>1</v>
      </c>
      <c r="H174" t="s">
        <v>328</v>
      </c>
      <c r="J174">
        <v>33</v>
      </c>
      <c r="K174">
        <v>180</v>
      </c>
      <c r="M174" s="2"/>
      <c r="N174" s="4"/>
      <c r="O174" s="57">
        <v>132</v>
      </c>
      <c r="P174" s="18">
        <v>137</v>
      </c>
      <c r="Q174" s="3"/>
      <c r="R174" s="19">
        <v>125</v>
      </c>
      <c r="S174" s="4"/>
      <c r="T174" s="4"/>
      <c r="U174" s="4">
        <f t="shared" si="5"/>
        <v>345</v>
      </c>
      <c r="V174" s="3">
        <f t="shared" si="6"/>
        <v>330</v>
      </c>
    </row>
    <row r="175" spans="1:22" x14ac:dyDescent="0.25">
      <c r="A175" s="9" t="s">
        <v>459</v>
      </c>
      <c r="B175" t="s">
        <v>101</v>
      </c>
      <c r="C175" s="99">
        <v>2</v>
      </c>
      <c r="D175" s="13">
        <v>2</v>
      </c>
      <c r="E175">
        <v>4</v>
      </c>
      <c r="F175" t="s">
        <v>327</v>
      </c>
      <c r="G175" s="13">
        <v>1</v>
      </c>
      <c r="H175" t="s">
        <v>328</v>
      </c>
      <c r="J175">
        <v>50</v>
      </c>
      <c r="K175">
        <v>300</v>
      </c>
      <c r="M175" s="2"/>
      <c r="N175" s="4"/>
      <c r="O175" s="57">
        <v>133</v>
      </c>
      <c r="P175" s="18">
        <v>138</v>
      </c>
      <c r="Q175" s="3"/>
      <c r="R175" s="19">
        <v>126</v>
      </c>
      <c r="S175" s="4"/>
      <c r="T175" s="4"/>
      <c r="U175" s="4">
        <f t="shared" si="5"/>
        <v>348</v>
      </c>
      <c r="V175" s="3">
        <f t="shared" si="6"/>
        <v>333</v>
      </c>
    </row>
    <row r="176" spans="1:22" x14ac:dyDescent="0.25">
      <c r="A176" s="9" t="s">
        <v>460</v>
      </c>
      <c r="B176" t="s">
        <v>1</v>
      </c>
      <c r="C176" s="99">
        <v>1</v>
      </c>
      <c r="E176">
        <v>1</v>
      </c>
      <c r="F176" t="s">
        <v>327</v>
      </c>
      <c r="G176" s="13">
        <v>1</v>
      </c>
      <c r="H176" t="s">
        <v>328</v>
      </c>
      <c r="J176">
        <v>3</v>
      </c>
      <c r="K176">
        <v>45</v>
      </c>
      <c r="M176" s="2"/>
      <c r="N176" s="4"/>
      <c r="O176" s="57">
        <v>134</v>
      </c>
      <c r="P176" s="18">
        <v>139</v>
      </c>
      <c r="Q176" s="3"/>
      <c r="R176" s="19">
        <v>127</v>
      </c>
      <c r="S176" s="4"/>
      <c r="T176" s="4"/>
      <c r="U176" s="4">
        <f t="shared" si="5"/>
        <v>351</v>
      </c>
      <c r="V176" s="3">
        <f t="shared" si="6"/>
        <v>336</v>
      </c>
    </row>
    <row r="177" spans="1:22" x14ac:dyDescent="0.25">
      <c r="A177" s="9" t="s">
        <v>461</v>
      </c>
      <c r="B177" t="s">
        <v>1</v>
      </c>
      <c r="C177" s="99">
        <v>2</v>
      </c>
      <c r="E177">
        <v>2</v>
      </c>
      <c r="F177" t="s">
        <v>327</v>
      </c>
      <c r="G177" s="13">
        <v>1</v>
      </c>
      <c r="H177" t="s">
        <v>328</v>
      </c>
      <c r="J177">
        <v>20</v>
      </c>
      <c r="K177">
        <v>90</v>
      </c>
      <c r="M177" s="2"/>
      <c r="N177" s="4"/>
      <c r="O177" s="57">
        <v>135</v>
      </c>
      <c r="P177" s="18">
        <v>140</v>
      </c>
      <c r="Q177" s="3"/>
      <c r="R177" s="19">
        <v>128</v>
      </c>
      <c r="S177" s="4"/>
      <c r="T177" s="4"/>
      <c r="U177" s="4">
        <f t="shared" si="5"/>
        <v>354</v>
      </c>
      <c r="V177" s="3">
        <f t="shared" si="6"/>
        <v>339</v>
      </c>
    </row>
    <row r="178" spans="1:22" x14ac:dyDescent="0.25">
      <c r="A178" s="9" t="s">
        <v>462</v>
      </c>
      <c r="B178" t="s">
        <v>1</v>
      </c>
      <c r="C178" s="99">
        <v>2</v>
      </c>
      <c r="E178">
        <v>3</v>
      </c>
      <c r="F178" t="s">
        <v>327</v>
      </c>
      <c r="G178" s="13">
        <v>1</v>
      </c>
      <c r="H178" t="s">
        <v>328</v>
      </c>
      <c r="J178">
        <v>33</v>
      </c>
      <c r="K178">
        <v>180</v>
      </c>
      <c r="M178" s="2"/>
      <c r="N178" s="4"/>
      <c r="O178" s="57">
        <v>136</v>
      </c>
      <c r="P178" s="18">
        <v>141</v>
      </c>
      <c r="Q178" s="3"/>
      <c r="R178" s="19">
        <v>129</v>
      </c>
      <c r="S178" s="4"/>
      <c r="T178" s="4"/>
      <c r="U178" s="4">
        <f t="shared" si="5"/>
        <v>357</v>
      </c>
      <c r="V178" s="3">
        <f t="shared" si="6"/>
        <v>342</v>
      </c>
    </row>
    <row r="179" spans="1:22" x14ac:dyDescent="0.25">
      <c r="A179" s="9" t="s">
        <v>463</v>
      </c>
      <c r="B179" t="s">
        <v>1</v>
      </c>
      <c r="C179" s="99">
        <v>2</v>
      </c>
      <c r="E179">
        <v>4</v>
      </c>
      <c r="F179" t="s">
        <v>327</v>
      </c>
      <c r="G179" s="13">
        <v>1</v>
      </c>
      <c r="H179" t="s">
        <v>328</v>
      </c>
      <c r="J179">
        <v>50</v>
      </c>
      <c r="K179">
        <v>300</v>
      </c>
      <c r="M179" s="2"/>
      <c r="N179" s="4"/>
      <c r="O179" s="57">
        <v>137</v>
      </c>
      <c r="P179" s="18">
        <v>142</v>
      </c>
      <c r="Q179" s="3"/>
      <c r="R179" s="19">
        <v>130</v>
      </c>
      <c r="S179" s="4"/>
      <c r="T179" s="4"/>
      <c r="U179" s="4">
        <f t="shared" si="5"/>
        <v>360</v>
      </c>
      <c r="V179" s="3">
        <f t="shared" si="6"/>
        <v>345</v>
      </c>
    </row>
    <row r="180" spans="1:22" x14ac:dyDescent="0.25">
      <c r="A180" s="32" t="s">
        <v>122</v>
      </c>
      <c r="D180" s="13"/>
      <c r="I180" s="13"/>
      <c r="M180" s="2"/>
      <c r="N180" s="4"/>
      <c r="O180" s="57">
        <v>138</v>
      </c>
      <c r="P180" s="18">
        <v>143</v>
      </c>
      <c r="Q180" s="3"/>
      <c r="R180" s="19">
        <v>131</v>
      </c>
      <c r="S180" s="4"/>
      <c r="T180" s="4"/>
      <c r="U180" s="4">
        <f t="shared" si="5"/>
        <v>363</v>
      </c>
      <c r="V180" s="3">
        <f t="shared" si="6"/>
        <v>348</v>
      </c>
    </row>
    <row r="181" spans="1:22" x14ac:dyDescent="0.25">
      <c r="A181" s="9" t="s">
        <v>103</v>
      </c>
      <c r="B181" t="s">
        <v>101</v>
      </c>
      <c r="C181" s="99">
        <v>0.5</v>
      </c>
      <c r="D181" s="13">
        <v>0</v>
      </c>
      <c r="E181">
        <v>2</v>
      </c>
      <c r="F181" t="s">
        <v>327</v>
      </c>
      <c r="G181" s="13"/>
      <c r="H181" t="s">
        <v>328</v>
      </c>
      <c r="I181" s="13"/>
      <c r="J181">
        <v>0</v>
      </c>
      <c r="K181">
        <v>5</v>
      </c>
      <c r="M181" s="2"/>
      <c r="N181" s="4"/>
      <c r="O181" s="57">
        <v>139</v>
      </c>
      <c r="P181" s="18">
        <v>144</v>
      </c>
      <c r="Q181" s="3"/>
      <c r="R181" s="19">
        <v>132</v>
      </c>
      <c r="S181" s="4"/>
      <c r="T181" s="4"/>
      <c r="U181" s="4">
        <f t="shared" si="5"/>
        <v>366</v>
      </c>
      <c r="V181" s="3">
        <f t="shared" si="6"/>
        <v>351</v>
      </c>
    </row>
    <row r="182" spans="1:22" x14ac:dyDescent="0.25">
      <c r="M182" s="2"/>
      <c r="N182" s="4"/>
      <c r="O182" s="57">
        <v>140</v>
      </c>
      <c r="P182" s="18">
        <v>145</v>
      </c>
      <c r="Q182" s="3"/>
      <c r="R182" s="19">
        <v>133</v>
      </c>
      <c r="S182" s="4"/>
      <c r="T182" s="4"/>
      <c r="U182" s="4">
        <f t="shared" si="5"/>
        <v>369</v>
      </c>
      <c r="V182" s="3">
        <f t="shared" si="6"/>
        <v>354</v>
      </c>
    </row>
    <row r="183" spans="1:22" x14ac:dyDescent="0.25">
      <c r="M183" s="2"/>
      <c r="N183" s="4"/>
      <c r="O183" s="57">
        <v>141</v>
      </c>
      <c r="P183" s="18">
        <v>146</v>
      </c>
      <c r="Q183" s="3"/>
      <c r="R183" s="19">
        <v>134</v>
      </c>
      <c r="S183" s="4"/>
      <c r="T183" s="4"/>
      <c r="U183" s="4">
        <f t="shared" si="5"/>
        <v>372</v>
      </c>
      <c r="V183" s="3">
        <f t="shared" si="6"/>
        <v>357</v>
      </c>
    </row>
    <row r="184" spans="1:22" x14ac:dyDescent="0.25">
      <c r="M184" s="2"/>
      <c r="N184" s="4"/>
      <c r="O184" s="57">
        <v>142</v>
      </c>
      <c r="P184" s="18">
        <v>147</v>
      </c>
      <c r="Q184" s="3"/>
      <c r="R184" s="19">
        <v>135</v>
      </c>
      <c r="S184" s="4"/>
      <c r="T184" s="4"/>
      <c r="U184" s="4">
        <f t="shared" si="5"/>
        <v>375</v>
      </c>
      <c r="V184" s="3">
        <f t="shared" si="6"/>
        <v>360</v>
      </c>
    </row>
    <row r="185" spans="1:22" x14ac:dyDescent="0.25">
      <c r="M185" s="2"/>
      <c r="N185" s="4"/>
      <c r="O185" s="57">
        <v>143</v>
      </c>
      <c r="P185" s="18">
        <v>148</v>
      </c>
      <c r="Q185" s="3"/>
      <c r="R185" s="19">
        <v>136</v>
      </c>
      <c r="S185" s="4"/>
      <c r="T185" s="4"/>
      <c r="U185" s="4">
        <f t="shared" si="5"/>
        <v>378</v>
      </c>
      <c r="V185" s="3">
        <f t="shared" si="6"/>
        <v>363</v>
      </c>
    </row>
    <row r="186" spans="1:22" x14ac:dyDescent="0.25">
      <c r="M186" s="2"/>
      <c r="N186" s="4"/>
      <c r="O186" s="57">
        <v>144</v>
      </c>
      <c r="P186" s="18">
        <v>149</v>
      </c>
      <c r="Q186" s="3"/>
      <c r="R186" s="19">
        <v>137</v>
      </c>
      <c r="S186" s="4"/>
      <c r="T186" s="4"/>
      <c r="U186" s="4">
        <f t="shared" si="5"/>
        <v>381</v>
      </c>
      <c r="V186" s="3">
        <f t="shared" si="6"/>
        <v>366</v>
      </c>
    </row>
    <row r="187" spans="1:22" x14ac:dyDescent="0.25">
      <c r="M187" s="2"/>
      <c r="N187" s="4"/>
      <c r="O187" s="57">
        <v>145</v>
      </c>
      <c r="P187" s="18">
        <v>150</v>
      </c>
      <c r="Q187" s="3"/>
      <c r="R187" s="19">
        <v>138</v>
      </c>
      <c r="S187" s="4"/>
      <c r="T187" s="4"/>
      <c r="U187" s="4">
        <f t="shared" si="5"/>
        <v>384</v>
      </c>
      <c r="V187" s="3">
        <f t="shared" si="6"/>
        <v>369</v>
      </c>
    </row>
    <row r="188" spans="1:22" x14ac:dyDescent="0.25">
      <c r="M188" s="2"/>
      <c r="N188" s="4"/>
      <c r="O188" s="57">
        <v>146</v>
      </c>
      <c r="P188" s="190">
        <v>151</v>
      </c>
      <c r="Q188" s="3"/>
      <c r="R188" s="19">
        <v>139</v>
      </c>
      <c r="S188" s="4"/>
      <c r="T188" s="4"/>
      <c r="U188" s="4">
        <f t="shared" si="5"/>
        <v>387</v>
      </c>
      <c r="V188" s="3">
        <f t="shared" si="6"/>
        <v>372</v>
      </c>
    </row>
    <row r="189" spans="1:22" x14ac:dyDescent="0.25">
      <c r="M189" s="2"/>
      <c r="N189" s="4"/>
      <c r="O189" s="57">
        <v>147</v>
      </c>
      <c r="P189" s="190">
        <v>152</v>
      </c>
      <c r="Q189" s="3"/>
      <c r="R189" s="19">
        <v>140</v>
      </c>
      <c r="S189" s="4"/>
      <c r="T189" s="4"/>
      <c r="U189" s="4">
        <f t="shared" ref="U189:U252" si="7">U188+3</f>
        <v>390</v>
      </c>
      <c r="V189" s="3">
        <f t="shared" si="6"/>
        <v>375</v>
      </c>
    </row>
    <row r="190" spans="1:22" x14ac:dyDescent="0.25">
      <c r="M190" s="2"/>
      <c r="N190" s="4"/>
      <c r="O190" s="57">
        <v>148</v>
      </c>
      <c r="P190" s="190">
        <v>153</v>
      </c>
      <c r="Q190" s="3"/>
      <c r="R190" s="19">
        <v>141</v>
      </c>
      <c r="S190" s="4"/>
      <c r="T190" s="4"/>
      <c r="U190" s="4">
        <f t="shared" si="7"/>
        <v>393</v>
      </c>
      <c r="V190" s="3">
        <f t="shared" si="6"/>
        <v>378</v>
      </c>
    </row>
    <row r="191" spans="1:22" x14ac:dyDescent="0.25">
      <c r="M191" s="2"/>
      <c r="N191" s="4"/>
      <c r="O191" s="57">
        <v>149</v>
      </c>
      <c r="P191" s="190">
        <v>154</v>
      </c>
      <c r="Q191" s="3"/>
      <c r="R191" s="19">
        <v>142</v>
      </c>
      <c r="S191" s="4"/>
      <c r="T191" s="4"/>
      <c r="U191" s="4">
        <f t="shared" si="7"/>
        <v>396</v>
      </c>
      <c r="V191" s="3">
        <f t="shared" si="6"/>
        <v>381</v>
      </c>
    </row>
    <row r="192" spans="1:22" x14ac:dyDescent="0.25">
      <c r="M192" s="2"/>
      <c r="N192" s="4"/>
      <c r="O192" s="57">
        <v>150</v>
      </c>
      <c r="P192" s="190">
        <v>155</v>
      </c>
      <c r="Q192" s="3"/>
      <c r="R192" s="19">
        <v>143</v>
      </c>
      <c r="S192" s="4"/>
      <c r="T192" s="4"/>
      <c r="U192" s="4">
        <f t="shared" si="7"/>
        <v>399</v>
      </c>
      <c r="V192" s="3">
        <f t="shared" si="6"/>
        <v>384</v>
      </c>
    </row>
    <row r="193" spans="1:22" x14ac:dyDescent="0.25">
      <c r="M193" s="2"/>
      <c r="N193" s="4"/>
      <c r="O193" s="57">
        <v>151</v>
      </c>
      <c r="P193" s="190">
        <v>156</v>
      </c>
      <c r="Q193" s="3"/>
      <c r="R193" s="19">
        <v>144</v>
      </c>
      <c r="S193" s="4"/>
      <c r="T193" s="4"/>
      <c r="U193" s="4">
        <f t="shared" si="7"/>
        <v>402</v>
      </c>
      <c r="V193" s="3">
        <f t="shared" si="6"/>
        <v>387</v>
      </c>
    </row>
    <row r="194" spans="1:22" x14ac:dyDescent="0.25">
      <c r="M194" s="2"/>
      <c r="N194" s="4"/>
      <c r="O194" s="57">
        <v>152</v>
      </c>
      <c r="P194" s="190">
        <v>157</v>
      </c>
      <c r="Q194" s="3"/>
      <c r="R194" s="19">
        <v>145</v>
      </c>
      <c r="S194" s="4"/>
      <c r="T194" s="4"/>
      <c r="U194" s="4">
        <f t="shared" si="7"/>
        <v>405</v>
      </c>
      <c r="V194" s="3">
        <f t="shared" ref="V194:V257" si="8">V193+3</f>
        <v>390</v>
      </c>
    </row>
    <row r="195" spans="1:22" x14ac:dyDescent="0.25">
      <c r="M195" s="2"/>
      <c r="N195" s="4"/>
      <c r="O195" s="57">
        <v>153</v>
      </c>
      <c r="P195" s="190">
        <v>158</v>
      </c>
      <c r="Q195" s="3"/>
      <c r="R195" s="19">
        <v>146</v>
      </c>
      <c r="S195" s="4"/>
      <c r="T195" s="4"/>
      <c r="U195" s="4">
        <f t="shared" si="7"/>
        <v>408</v>
      </c>
      <c r="V195" s="3">
        <f t="shared" si="8"/>
        <v>393</v>
      </c>
    </row>
    <row r="196" spans="1:22" x14ac:dyDescent="0.25">
      <c r="M196" s="2"/>
      <c r="N196" s="4"/>
      <c r="O196" s="57">
        <v>154</v>
      </c>
      <c r="P196" s="190">
        <v>159</v>
      </c>
      <c r="Q196" s="3"/>
      <c r="R196" s="19">
        <v>147</v>
      </c>
      <c r="S196" s="4"/>
      <c r="T196" s="4"/>
      <c r="U196" s="4">
        <f t="shared" si="7"/>
        <v>411</v>
      </c>
      <c r="V196" s="3">
        <f t="shared" si="8"/>
        <v>396</v>
      </c>
    </row>
    <row r="197" spans="1:22" x14ac:dyDescent="0.25">
      <c r="M197" s="2"/>
      <c r="N197" s="4"/>
      <c r="O197" s="57">
        <v>155</v>
      </c>
      <c r="P197" s="190">
        <v>160</v>
      </c>
      <c r="Q197" s="3"/>
      <c r="R197" s="19">
        <v>148</v>
      </c>
      <c r="S197" s="4"/>
      <c r="T197" s="4"/>
      <c r="U197" s="4">
        <f t="shared" si="7"/>
        <v>414</v>
      </c>
      <c r="V197" s="3">
        <f t="shared" si="8"/>
        <v>399</v>
      </c>
    </row>
    <row r="198" spans="1:22" x14ac:dyDescent="0.25">
      <c r="M198" s="2"/>
      <c r="N198" s="4"/>
      <c r="O198" s="57">
        <v>156</v>
      </c>
      <c r="P198" s="190">
        <v>161</v>
      </c>
      <c r="Q198" s="3"/>
      <c r="R198" s="19">
        <v>149</v>
      </c>
      <c r="S198" s="4"/>
      <c r="T198" s="4"/>
      <c r="U198" s="4">
        <f t="shared" si="7"/>
        <v>417</v>
      </c>
      <c r="V198" s="3">
        <f t="shared" si="8"/>
        <v>402</v>
      </c>
    </row>
    <row r="199" spans="1:22" x14ac:dyDescent="0.25">
      <c r="M199" s="2"/>
      <c r="N199" s="4"/>
      <c r="O199" s="57">
        <v>157</v>
      </c>
      <c r="P199" s="190">
        <v>162</v>
      </c>
      <c r="Q199" s="3"/>
      <c r="R199" s="18">
        <v>150</v>
      </c>
      <c r="S199" s="4"/>
      <c r="T199" s="4"/>
      <c r="U199" s="4">
        <f t="shared" si="7"/>
        <v>420</v>
      </c>
      <c r="V199" s="3">
        <f t="shared" si="8"/>
        <v>405</v>
      </c>
    </row>
    <row r="200" spans="1:22" x14ac:dyDescent="0.25">
      <c r="L200" s="99"/>
      <c r="M200" s="2"/>
      <c r="O200" s="57">
        <v>158</v>
      </c>
      <c r="P200" s="190">
        <v>163</v>
      </c>
      <c r="Q200" s="3"/>
      <c r="R200" s="18">
        <v>151</v>
      </c>
      <c r="U200" s="4">
        <f t="shared" si="7"/>
        <v>423</v>
      </c>
      <c r="V200" s="3">
        <f t="shared" si="8"/>
        <v>408</v>
      </c>
    </row>
    <row r="201" spans="1:22" ht="15.75" x14ac:dyDescent="0.25">
      <c r="A201" s="33" t="s">
        <v>429</v>
      </c>
      <c r="B201" s="99"/>
      <c r="D201" s="99"/>
      <c r="E201" s="99"/>
      <c r="F201" s="99"/>
      <c r="G201" s="99"/>
      <c r="H201" s="99"/>
      <c r="I201" s="99"/>
      <c r="J201" s="99"/>
      <c r="K201" s="99"/>
      <c r="L201" s="99"/>
      <c r="M201" s="2"/>
      <c r="O201" s="57">
        <v>159</v>
      </c>
      <c r="P201" s="190">
        <v>164</v>
      </c>
      <c r="Q201" s="3"/>
      <c r="R201" s="18">
        <v>152</v>
      </c>
      <c r="U201" s="4">
        <f t="shared" si="7"/>
        <v>426</v>
      </c>
      <c r="V201" s="3">
        <f t="shared" si="8"/>
        <v>411</v>
      </c>
    </row>
    <row r="202" spans="1:22" x14ac:dyDescent="0.25">
      <c r="A202" s="99" t="s">
        <v>69</v>
      </c>
      <c r="B202" s="99" t="s">
        <v>5</v>
      </c>
      <c r="C202" s="99" t="s">
        <v>444</v>
      </c>
      <c r="D202" s="99" t="s">
        <v>330</v>
      </c>
      <c r="E202" s="99" t="s">
        <v>331</v>
      </c>
      <c r="F202" s="99" t="s">
        <v>327</v>
      </c>
      <c r="G202" s="99" t="s">
        <v>331</v>
      </c>
      <c r="H202" s="99" t="s">
        <v>328</v>
      </c>
      <c r="I202" s="99" t="s">
        <v>329</v>
      </c>
      <c r="J202" s="99" t="s">
        <v>70</v>
      </c>
      <c r="K202" s="99" t="s">
        <v>11</v>
      </c>
      <c r="L202" s="99"/>
      <c r="M202" s="2"/>
      <c r="O202" s="57">
        <v>160</v>
      </c>
      <c r="P202" s="190">
        <v>165</v>
      </c>
      <c r="Q202" s="3"/>
      <c r="R202" s="18">
        <v>153</v>
      </c>
      <c r="U202" s="4">
        <f t="shared" si="7"/>
        <v>429</v>
      </c>
      <c r="V202" s="3">
        <f t="shared" si="8"/>
        <v>414</v>
      </c>
    </row>
    <row r="203" spans="1:22" x14ac:dyDescent="0.25">
      <c r="A203" s="34" t="s">
        <v>243</v>
      </c>
      <c r="B203" s="99"/>
      <c r="D203" s="99"/>
      <c r="E203" s="99"/>
      <c r="F203" s="99"/>
      <c r="G203" s="99"/>
      <c r="H203" s="99"/>
      <c r="I203" s="99"/>
      <c r="J203" s="99"/>
      <c r="K203" s="99"/>
      <c r="L203" s="99"/>
      <c r="M203" s="2"/>
      <c r="O203" s="57">
        <v>161</v>
      </c>
      <c r="P203" s="190">
        <v>166</v>
      </c>
      <c r="Q203" s="3"/>
      <c r="R203" s="18">
        <v>154</v>
      </c>
      <c r="U203" s="4">
        <f t="shared" si="7"/>
        <v>432</v>
      </c>
      <c r="V203" s="3">
        <f t="shared" si="8"/>
        <v>417</v>
      </c>
    </row>
    <row r="204" spans="1:22" x14ac:dyDescent="0.25">
      <c r="A204" s="32" t="s">
        <v>430</v>
      </c>
      <c r="B204" s="99"/>
      <c r="D204" s="99"/>
      <c r="E204" s="99"/>
      <c r="F204" s="99"/>
      <c r="G204" s="99"/>
      <c r="H204" s="99"/>
      <c r="I204" s="99"/>
      <c r="J204" s="99"/>
      <c r="K204" s="99"/>
      <c r="L204" s="12"/>
      <c r="M204" s="2"/>
      <c r="O204" s="57">
        <v>162</v>
      </c>
      <c r="P204" s="190">
        <v>167</v>
      </c>
      <c r="Q204" s="3"/>
      <c r="R204" s="18">
        <v>155</v>
      </c>
      <c r="U204" s="4">
        <f t="shared" si="7"/>
        <v>435</v>
      </c>
      <c r="V204" s="3">
        <f t="shared" si="8"/>
        <v>420</v>
      </c>
    </row>
    <row r="205" spans="1:22" x14ac:dyDescent="0.25">
      <c r="A205" s="99" t="s">
        <v>432</v>
      </c>
      <c r="B205" s="99" t="s">
        <v>1</v>
      </c>
      <c r="C205" s="99">
        <v>1</v>
      </c>
      <c r="D205" s="13">
        <v>1</v>
      </c>
      <c r="E205" s="99">
        <v>2</v>
      </c>
      <c r="F205" s="99" t="s">
        <v>327</v>
      </c>
      <c r="G205" s="13">
        <v>1</v>
      </c>
      <c r="H205" s="99" t="s">
        <v>328</v>
      </c>
      <c r="I205" s="99">
        <v>-2</v>
      </c>
      <c r="J205" s="99">
        <v>0</v>
      </c>
      <c r="K205" s="12">
        <v>20</v>
      </c>
      <c r="L205" s="99"/>
      <c r="M205" s="2"/>
      <c r="O205" s="57">
        <v>163</v>
      </c>
      <c r="P205" s="190">
        <v>168</v>
      </c>
      <c r="Q205" s="3"/>
      <c r="R205" s="18">
        <v>156</v>
      </c>
      <c r="U205" s="4">
        <f t="shared" si="7"/>
        <v>438</v>
      </c>
      <c r="V205" s="3">
        <f t="shared" si="8"/>
        <v>423</v>
      </c>
    </row>
    <row r="206" spans="1:22" x14ac:dyDescent="0.25">
      <c r="A206" s="99" t="s">
        <v>431</v>
      </c>
      <c r="B206" s="99" t="s">
        <v>1</v>
      </c>
      <c r="C206" s="99">
        <v>1</v>
      </c>
      <c r="D206" s="13">
        <v>0</v>
      </c>
      <c r="E206" s="99">
        <v>2</v>
      </c>
      <c r="F206" s="99" t="s">
        <v>327</v>
      </c>
      <c r="G206" s="13">
        <v>1</v>
      </c>
      <c r="H206" s="99" t="s">
        <v>328</v>
      </c>
      <c r="I206" s="99">
        <v>-1</v>
      </c>
      <c r="J206" s="99">
        <v>0</v>
      </c>
      <c r="K206" s="99">
        <v>30</v>
      </c>
      <c r="L206" s="99"/>
      <c r="M206" s="2"/>
      <c r="O206" s="57">
        <v>164</v>
      </c>
      <c r="P206" s="190">
        <v>169</v>
      </c>
      <c r="Q206" s="3"/>
      <c r="R206" s="18">
        <v>157</v>
      </c>
      <c r="U206" s="4">
        <f t="shared" si="7"/>
        <v>441</v>
      </c>
      <c r="V206" s="3">
        <f t="shared" si="8"/>
        <v>426</v>
      </c>
    </row>
    <row r="207" spans="1:22" x14ac:dyDescent="0.25">
      <c r="A207" s="32" t="s">
        <v>433</v>
      </c>
      <c r="B207" s="99"/>
      <c r="D207" s="13"/>
      <c r="E207" s="99"/>
      <c r="F207" s="99"/>
      <c r="G207" s="99"/>
      <c r="H207" s="99"/>
      <c r="I207" s="13"/>
      <c r="J207" s="99"/>
      <c r="K207" s="99"/>
      <c r="L207" s="99"/>
      <c r="M207" s="2"/>
      <c r="O207" s="57">
        <v>165</v>
      </c>
      <c r="P207" s="190">
        <v>170</v>
      </c>
      <c r="Q207" s="3"/>
      <c r="R207" s="18">
        <v>158</v>
      </c>
      <c r="U207" s="4">
        <f t="shared" si="7"/>
        <v>444</v>
      </c>
      <c r="V207" s="3">
        <f t="shared" si="8"/>
        <v>429</v>
      </c>
    </row>
    <row r="208" spans="1:22" x14ac:dyDescent="0.25">
      <c r="A208" s="99" t="s">
        <v>434</v>
      </c>
      <c r="B208" s="99" t="s">
        <v>102</v>
      </c>
      <c r="C208" s="99">
        <v>1</v>
      </c>
      <c r="D208" s="13">
        <v>1</v>
      </c>
      <c r="E208" s="99">
        <v>2</v>
      </c>
      <c r="F208" s="99" t="s">
        <v>327</v>
      </c>
      <c r="G208" s="13">
        <v>1</v>
      </c>
      <c r="H208" s="99" t="s">
        <v>328</v>
      </c>
      <c r="I208" s="13">
        <v>3</v>
      </c>
      <c r="J208" s="99">
        <v>0</v>
      </c>
      <c r="K208" s="99">
        <v>25</v>
      </c>
      <c r="L208" s="99"/>
      <c r="M208" s="2"/>
      <c r="O208" s="57">
        <v>166</v>
      </c>
      <c r="P208" s="190">
        <v>171</v>
      </c>
      <c r="Q208" s="3"/>
      <c r="R208" s="18">
        <v>159</v>
      </c>
      <c r="U208" s="4">
        <f t="shared" si="7"/>
        <v>447</v>
      </c>
      <c r="V208" s="3">
        <f t="shared" si="8"/>
        <v>432</v>
      </c>
    </row>
    <row r="209" spans="1:22" x14ac:dyDescent="0.25">
      <c r="A209" s="99" t="s">
        <v>435</v>
      </c>
      <c r="B209" s="99" t="s">
        <v>1</v>
      </c>
      <c r="C209" s="99">
        <v>1</v>
      </c>
      <c r="D209" s="13">
        <v>1</v>
      </c>
      <c r="E209" s="99">
        <v>3</v>
      </c>
      <c r="F209" s="99" t="s">
        <v>327</v>
      </c>
      <c r="G209" s="13"/>
      <c r="H209" s="99" t="s">
        <v>328</v>
      </c>
      <c r="I209" s="13">
        <v>3</v>
      </c>
      <c r="J209" s="99">
        <v>0</v>
      </c>
      <c r="K209" s="99">
        <v>30</v>
      </c>
      <c r="L209" s="99"/>
      <c r="M209" s="2"/>
      <c r="O209" s="57">
        <v>167</v>
      </c>
      <c r="P209" s="190">
        <v>172</v>
      </c>
      <c r="Q209" s="3"/>
      <c r="R209" s="18">
        <v>160</v>
      </c>
      <c r="U209" s="4">
        <f t="shared" si="7"/>
        <v>450</v>
      </c>
      <c r="V209" s="3">
        <f t="shared" si="8"/>
        <v>435</v>
      </c>
    </row>
    <row r="210" spans="1:22" x14ac:dyDescent="0.25">
      <c r="A210" s="32" t="s">
        <v>436</v>
      </c>
      <c r="B210" s="99"/>
      <c r="D210" s="13"/>
      <c r="E210" s="99"/>
      <c r="F210" s="99"/>
      <c r="G210" s="99"/>
      <c r="H210" s="99"/>
      <c r="I210" s="13"/>
      <c r="J210" s="99"/>
      <c r="K210" s="99"/>
      <c r="L210" s="99"/>
      <c r="M210" s="2"/>
      <c r="O210" s="57">
        <v>168</v>
      </c>
      <c r="P210" s="190">
        <v>173</v>
      </c>
      <c r="Q210" s="3"/>
      <c r="R210" s="18">
        <v>161</v>
      </c>
      <c r="U210" s="4">
        <f t="shared" si="7"/>
        <v>453</v>
      </c>
      <c r="V210" s="3">
        <f t="shared" si="8"/>
        <v>438</v>
      </c>
    </row>
    <row r="211" spans="1:22" x14ac:dyDescent="0.25">
      <c r="A211" s="99" t="s">
        <v>437</v>
      </c>
      <c r="B211" s="99" t="s">
        <v>102</v>
      </c>
      <c r="C211" s="99">
        <v>2</v>
      </c>
      <c r="D211" s="99">
        <v>-2</v>
      </c>
      <c r="E211" s="99">
        <v>4</v>
      </c>
      <c r="F211" s="99" t="s">
        <v>327</v>
      </c>
      <c r="G211" s="13"/>
      <c r="H211" s="99" t="s">
        <v>328</v>
      </c>
      <c r="I211" s="99">
        <v>-3</v>
      </c>
      <c r="J211" s="99">
        <v>25</v>
      </c>
      <c r="K211" s="99">
        <v>35</v>
      </c>
      <c r="L211" s="99"/>
      <c r="M211" s="2"/>
      <c r="O211" s="57">
        <v>169</v>
      </c>
      <c r="P211" s="190">
        <v>174</v>
      </c>
      <c r="Q211" s="3"/>
      <c r="R211" s="18">
        <v>162</v>
      </c>
      <c r="U211" s="4">
        <f t="shared" si="7"/>
        <v>456</v>
      </c>
      <c r="V211" s="3">
        <f t="shared" si="8"/>
        <v>441</v>
      </c>
    </row>
    <row r="212" spans="1:22" x14ac:dyDescent="0.25">
      <c r="A212" s="99" t="s">
        <v>438</v>
      </c>
      <c r="B212" s="99" t="s">
        <v>101</v>
      </c>
      <c r="C212" s="99">
        <v>2</v>
      </c>
      <c r="D212" s="13">
        <v>1</v>
      </c>
      <c r="E212" s="99">
        <v>3</v>
      </c>
      <c r="F212" s="99" t="s">
        <v>327</v>
      </c>
      <c r="G212" s="13">
        <v>1</v>
      </c>
      <c r="H212" s="99" t="s">
        <v>328</v>
      </c>
      <c r="I212" s="99">
        <v>-4</v>
      </c>
      <c r="J212" s="99">
        <v>30</v>
      </c>
      <c r="K212" s="99">
        <v>40</v>
      </c>
      <c r="L212" s="99"/>
      <c r="M212" s="2"/>
      <c r="O212" s="57">
        <v>170</v>
      </c>
      <c r="P212" s="190">
        <v>175</v>
      </c>
      <c r="Q212" s="3"/>
      <c r="R212" s="18">
        <v>163</v>
      </c>
      <c r="U212" s="4">
        <f t="shared" si="7"/>
        <v>459</v>
      </c>
      <c r="V212" s="3">
        <f t="shared" si="8"/>
        <v>444</v>
      </c>
    </row>
    <row r="213" spans="1:22" x14ac:dyDescent="0.25">
      <c r="A213" s="32" t="s">
        <v>115</v>
      </c>
      <c r="B213" s="99"/>
      <c r="D213" s="13"/>
      <c r="E213" s="99"/>
      <c r="F213" s="99"/>
      <c r="G213" s="99"/>
      <c r="H213" s="99"/>
      <c r="I213" s="13"/>
      <c r="J213" s="99"/>
      <c r="K213" s="99"/>
      <c r="L213" s="99"/>
      <c r="M213" s="2"/>
      <c r="O213" s="57">
        <v>171</v>
      </c>
      <c r="P213" s="190">
        <v>176</v>
      </c>
      <c r="Q213" s="3"/>
      <c r="R213" s="18">
        <v>164</v>
      </c>
      <c r="U213" s="4">
        <f t="shared" si="7"/>
        <v>462</v>
      </c>
      <c r="V213" s="3">
        <f t="shared" si="8"/>
        <v>447</v>
      </c>
    </row>
    <row r="214" spans="1:22" x14ac:dyDescent="0.25">
      <c r="A214" s="9" t="s">
        <v>132</v>
      </c>
      <c r="B214" s="99" t="s">
        <v>101</v>
      </c>
      <c r="C214" s="99">
        <v>1</v>
      </c>
      <c r="D214" s="13">
        <v>0</v>
      </c>
      <c r="E214" s="99">
        <v>2</v>
      </c>
      <c r="F214" s="99" t="s">
        <v>327</v>
      </c>
      <c r="G214" s="13"/>
      <c r="H214" s="99" t="s">
        <v>328</v>
      </c>
      <c r="I214" s="13"/>
      <c r="J214" s="99">
        <v>0</v>
      </c>
      <c r="K214" s="99">
        <v>15</v>
      </c>
      <c r="L214" s="99"/>
      <c r="M214" s="2"/>
      <c r="O214" s="57">
        <v>172</v>
      </c>
      <c r="P214" s="190">
        <v>177</v>
      </c>
      <c r="Q214" s="3"/>
      <c r="R214" s="18">
        <v>165</v>
      </c>
      <c r="U214" s="4">
        <f t="shared" si="7"/>
        <v>465</v>
      </c>
      <c r="V214" s="3">
        <f t="shared" si="8"/>
        <v>450</v>
      </c>
    </row>
    <row r="215" spans="1:22" x14ac:dyDescent="0.25">
      <c r="A215" s="9" t="s">
        <v>133</v>
      </c>
      <c r="B215" s="99" t="s">
        <v>101</v>
      </c>
      <c r="C215" s="99">
        <v>1</v>
      </c>
      <c r="D215" s="13">
        <v>1</v>
      </c>
      <c r="E215" s="99">
        <v>1</v>
      </c>
      <c r="F215" s="99" t="s">
        <v>327</v>
      </c>
      <c r="G215" s="13">
        <v>1</v>
      </c>
      <c r="H215" s="99" t="s">
        <v>328</v>
      </c>
      <c r="I215" s="13">
        <v>-1</v>
      </c>
      <c r="J215" s="99">
        <v>0</v>
      </c>
      <c r="K215" s="99">
        <v>20</v>
      </c>
      <c r="L215" s="99"/>
      <c r="M215" s="2"/>
      <c r="O215" s="57">
        <v>173</v>
      </c>
      <c r="P215" s="190">
        <v>178</v>
      </c>
      <c r="Q215" s="3"/>
      <c r="R215" s="18">
        <v>166</v>
      </c>
      <c r="U215" s="4">
        <f t="shared" si="7"/>
        <v>468</v>
      </c>
      <c r="V215" s="3">
        <f t="shared" si="8"/>
        <v>453</v>
      </c>
    </row>
    <row r="216" spans="1:22" x14ac:dyDescent="0.25">
      <c r="A216" s="9" t="s">
        <v>134</v>
      </c>
      <c r="B216" s="99" t="s">
        <v>102</v>
      </c>
      <c r="C216" s="99">
        <v>1</v>
      </c>
      <c r="D216" s="13">
        <v>0</v>
      </c>
      <c r="E216" s="99">
        <v>3</v>
      </c>
      <c r="F216" s="99" t="s">
        <v>327</v>
      </c>
      <c r="G216" s="13"/>
      <c r="H216" s="99" t="s">
        <v>328</v>
      </c>
      <c r="I216" s="13">
        <v>-2</v>
      </c>
      <c r="J216" s="99">
        <v>0</v>
      </c>
      <c r="K216" s="99">
        <v>30</v>
      </c>
      <c r="L216" s="99"/>
      <c r="M216" s="2"/>
      <c r="O216" s="57">
        <v>174</v>
      </c>
      <c r="P216" s="190">
        <v>179</v>
      </c>
      <c r="Q216" s="3"/>
      <c r="R216" s="18">
        <v>167</v>
      </c>
      <c r="U216" s="4">
        <f t="shared" si="7"/>
        <v>471</v>
      </c>
      <c r="V216" s="3">
        <f t="shared" si="8"/>
        <v>456</v>
      </c>
    </row>
    <row r="217" spans="1:22" x14ac:dyDescent="0.25">
      <c r="A217" s="9" t="s">
        <v>135</v>
      </c>
      <c r="B217" s="99" t="s">
        <v>1</v>
      </c>
      <c r="C217" s="99">
        <v>1</v>
      </c>
      <c r="D217" s="13">
        <v>-1</v>
      </c>
      <c r="E217" s="99">
        <v>4</v>
      </c>
      <c r="F217" s="99" t="s">
        <v>327</v>
      </c>
      <c r="G217" s="13"/>
      <c r="H217" s="99" t="s">
        <v>328</v>
      </c>
      <c r="I217" s="13">
        <v>-3</v>
      </c>
      <c r="J217" s="99">
        <v>0</v>
      </c>
      <c r="K217" s="99">
        <v>45</v>
      </c>
      <c r="L217" s="99"/>
      <c r="M217" s="2"/>
      <c r="O217" s="57">
        <v>175</v>
      </c>
      <c r="P217" s="190">
        <v>180</v>
      </c>
      <c r="Q217" s="3"/>
      <c r="R217" s="18">
        <v>168</v>
      </c>
      <c r="U217" s="4">
        <f t="shared" si="7"/>
        <v>474</v>
      </c>
      <c r="V217" s="3">
        <f t="shared" si="8"/>
        <v>459</v>
      </c>
    </row>
    <row r="218" spans="1:22" x14ac:dyDescent="0.25">
      <c r="A218" s="32" t="s">
        <v>121</v>
      </c>
      <c r="B218" s="99"/>
      <c r="D218" s="13"/>
      <c r="E218" s="99"/>
      <c r="F218" s="99"/>
      <c r="G218" s="99"/>
      <c r="H218" s="99"/>
      <c r="I218" s="13"/>
      <c r="J218" s="99"/>
      <c r="K218" s="99"/>
      <c r="L218" s="99"/>
      <c r="M218" s="2"/>
      <c r="O218" s="57">
        <v>176</v>
      </c>
      <c r="P218" s="190">
        <v>181</v>
      </c>
      <c r="Q218" s="3"/>
      <c r="R218" s="18">
        <v>169</v>
      </c>
      <c r="U218" s="4">
        <f t="shared" si="7"/>
        <v>477</v>
      </c>
      <c r="V218" s="3">
        <f t="shared" si="8"/>
        <v>462</v>
      </c>
    </row>
    <row r="219" spans="1:22" x14ac:dyDescent="0.25">
      <c r="A219" s="9" t="s">
        <v>156</v>
      </c>
      <c r="B219" s="99" t="s">
        <v>1</v>
      </c>
      <c r="C219" s="99">
        <v>1</v>
      </c>
      <c r="D219" s="13">
        <v>0</v>
      </c>
      <c r="E219" s="99">
        <v>2</v>
      </c>
      <c r="F219" s="99" t="s">
        <v>327</v>
      </c>
      <c r="G219" s="13"/>
      <c r="H219" s="99" t="s">
        <v>328</v>
      </c>
      <c r="I219" s="13">
        <v>6</v>
      </c>
      <c r="J219" s="99">
        <v>0</v>
      </c>
      <c r="K219" s="99">
        <v>35</v>
      </c>
      <c r="L219" s="99"/>
      <c r="M219" s="2"/>
      <c r="O219" s="57">
        <v>177</v>
      </c>
      <c r="P219" s="190">
        <v>182</v>
      </c>
      <c r="Q219" s="3"/>
      <c r="R219" s="18">
        <v>170</v>
      </c>
      <c r="U219" s="4">
        <f t="shared" si="7"/>
        <v>480</v>
      </c>
      <c r="V219" s="3">
        <f t="shared" si="8"/>
        <v>465</v>
      </c>
    </row>
    <row r="220" spans="1:22" x14ac:dyDescent="0.25">
      <c r="A220" s="9" t="s">
        <v>157</v>
      </c>
      <c r="B220" s="99" t="s">
        <v>102</v>
      </c>
      <c r="C220" s="99">
        <v>2</v>
      </c>
      <c r="D220" s="13">
        <v>-2</v>
      </c>
      <c r="E220" s="99">
        <v>3</v>
      </c>
      <c r="F220" s="99" t="s">
        <v>327</v>
      </c>
      <c r="G220" s="13"/>
      <c r="H220" s="99" t="s">
        <v>328</v>
      </c>
      <c r="I220" s="13">
        <v>4</v>
      </c>
      <c r="J220" s="99">
        <v>0</v>
      </c>
      <c r="K220" s="99">
        <v>60</v>
      </c>
      <c r="L220" s="99"/>
      <c r="M220" s="2"/>
      <c r="O220" s="57">
        <v>178</v>
      </c>
      <c r="P220" s="190">
        <v>183</v>
      </c>
      <c r="Q220" s="3"/>
      <c r="R220" s="18">
        <v>171</v>
      </c>
      <c r="U220" s="4">
        <f t="shared" si="7"/>
        <v>483</v>
      </c>
      <c r="V220" s="3">
        <f t="shared" si="8"/>
        <v>468</v>
      </c>
    </row>
    <row r="221" spans="1:22" x14ac:dyDescent="0.25">
      <c r="A221" s="9" t="s">
        <v>158</v>
      </c>
      <c r="B221" s="99" t="s">
        <v>102</v>
      </c>
      <c r="C221" s="99">
        <v>2</v>
      </c>
      <c r="D221" s="13">
        <v>-1</v>
      </c>
      <c r="E221" s="99">
        <v>4</v>
      </c>
      <c r="F221" s="99" t="s">
        <v>327</v>
      </c>
      <c r="G221" s="13"/>
      <c r="H221" s="99" t="s">
        <v>328</v>
      </c>
      <c r="I221" s="13">
        <v>3</v>
      </c>
      <c r="J221" s="99">
        <v>0</v>
      </c>
      <c r="K221" s="99">
        <v>85</v>
      </c>
      <c r="L221" s="99"/>
      <c r="M221" s="2"/>
      <c r="O221" s="57">
        <v>179</v>
      </c>
      <c r="P221" s="190">
        <v>184</v>
      </c>
      <c r="Q221" s="3"/>
      <c r="R221" s="18">
        <v>172</v>
      </c>
      <c r="U221" s="4">
        <f t="shared" si="7"/>
        <v>486</v>
      </c>
      <c r="V221" s="3">
        <f t="shared" si="8"/>
        <v>471</v>
      </c>
    </row>
    <row r="222" spans="1:22" x14ac:dyDescent="0.25">
      <c r="A222" s="9" t="s">
        <v>159</v>
      </c>
      <c r="B222" s="99" t="s">
        <v>102</v>
      </c>
      <c r="C222" s="99">
        <v>2</v>
      </c>
      <c r="D222" s="13">
        <v>-2</v>
      </c>
      <c r="E222" s="99">
        <v>5</v>
      </c>
      <c r="F222" s="99" t="s">
        <v>327</v>
      </c>
      <c r="G222" s="13"/>
      <c r="H222" s="99" t="s">
        <v>328</v>
      </c>
      <c r="I222" s="13">
        <v>1</v>
      </c>
      <c r="J222" s="99">
        <v>0</v>
      </c>
      <c r="K222" s="99">
        <v>110</v>
      </c>
      <c r="M222" s="2"/>
      <c r="O222" s="57">
        <v>180</v>
      </c>
      <c r="P222" s="190">
        <v>185</v>
      </c>
      <c r="Q222" s="3"/>
      <c r="R222" s="18">
        <v>173</v>
      </c>
      <c r="U222" s="4">
        <f t="shared" si="7"/>
        <v>489</v>
      </c>
      <c r="V222" s="3">
        <f t="shared" si="8"/>
        <v>474</v>
      </c>
    </row>
    <row r="223" spans="1:22" x14ac:dyDescent="0.25">
      <c r="M223" s="2"/>
      <c r="O223" s="57">
        <v>181</v>
      </c>
      <c r="P223" s="190">
        <v>186</v>
      </c>
      <c r="Q223" s="3"/>
      <c r="R223" s="18">
        <v>174</v>
      </c>
      <c r="U223" s="4">
        <f t="shared" si="7"/>
        <v>492</v>
      </c>
      <c r="V223" s="3">
        <f t="shared" si="8"/>
        <v>477</v>
      </c>
    </row>
    <row r="224" spans="1:22" x14ac:dyDescent="0.25">
      <c r="M224" s="2"/>
      <c r="O224" s="57">
        <v>182</v>
      </c>
      <c r="P224" s="190">
        <v>187</v>
      </c>
      <c r="Q224" s="3"/>
      <c r="R224" s="18">
        <v>175</v>
      </c>
      <c r="U224" s="4">
        <f t="shared" si="7"/>
        <v>495</v>
      </c>
      <c r="V224" s="3">
        <f t="shared" si="8"/>
        <v>480</v>
      </c>
    </row>
    <row r="225" spans="13:22" x14ac:dyDescent="0.25">
      <c r="M225" s="2"/>
      <c r="O225" s="57">
        <v>183</v>
      </c>
      <c r="P225" s="190">
        <v>188</v>
      </c>
      <c r="Q225" s="3"/>
      <c r="R225" s="18">
        <v>176</v>
      </c>
      <c r="U225" s="4">
        <f t="shared" si="7"/>
        <v>498</v>
      </c>
      <c r="V225" s="3">
        <f t="shared" si="8"/>
        <v>483</v>
      </c>
    </row>
    <row r="226" spans="13:22" x14ac:dyDescent="0.25">
      <c r="M226" s="2"/>
      <c r="O226" s="57">
        <v>184</v>
      </c>
      <c r="P226" s="190">
        <v>189</v>
      </c>
      <c r="Q226" s="3"/>
      <c r="R226" s="18">
        <v>177</v>
      </c>
      <c r="U226" s="4">
        <f t="shared" si="7"/>
        <v>501</v>
      </c>
      <c r="V226" s="3">
        <f t="shared" si="8"/>
        <v>486</v>
      </c>
    </row>
    <row r="227" spans="13:22" x14ac:dyDescent="0.25">
      <c r="M227" s="2"/>
      <c r="O227" s="57">
        <v>185</v>
      </c>
      <c r="P227" s="190">
        <v>190</v>
      </c>
      <c r="Q227" s="3"/>
      <c r="R227" s="18">
        <v>178</v>
      </c>
      <c r="U227" s="4">
        <f t="shared" si="7"/>
        <v>504</v>
      </c>
      <c r="V227" s="3">
        <f t="shared" si="8"/>
        <v>489</v>
      </c>
    </row>
    <row r="228" spans="13:22" x14ac:dyDescent="0.25">
      <c r="M228" s="2"/>
      <c r="O228" s="57">
        <v>186</v>
      </c>
      <c r="P228" s="190">
        <v>191</v>
      </c>
      <c r="Q228" s="3"/>
      <c r="R228" s="18">
        <v>179</v>
      </c>
      <c r="U228" s="4">
        <f t="shared" si="7"/>
        <v>507</v>
      </c>
      <c r="V228" s="3">
        <f t="shared" si="8"/>
        <v>492</v>
      </c>
    </row>
    <row r="229" spans="13:22" x14ac:dyDescent="0.25">
      <c r="M229" s="2"/>
      <c r="O229" s="57">
        <v>187</v>
      </c>
      <c r="P229" s="190">
        <v>192</v>
      </c>
      <c r="Q229" s="3"/>
      <c r="R229" s="18">
        <v>180</v>
      </c>
      <c r="U229" s="4">
        <f t="shared" si="7"/>
        <v>510</v>
      </c>
      <c r="V229" s="3">
        <f t="shared" si="8"/>
        <v>495</v>
      </c>
    </row>
    <row r="230" spans="13:22" x14ac:dyDescent="0.25">
      <c r="M230" s="2"/>
      <c r="O230" s="57">
        <v>188</v>
      </c>
      <c r="P230" s="190">
        <v>193</v>
      </c>
      <c r="Q230" s="3"/>
      <c r="R230" s="18">
        <v>181</v>
      </c>
      <c r="U230" s="4">
        <f t="shared" si="7"/>
        <v>513</v>
      </c>
      <c r="V230" s="3">
        <f t="shared" si="8"/>
        <v>498</v>
      </c>
    </row>
    <row r="231" spans="13:22" x14ac:dyDescent="0.25">
      <c r="M231" s="2"/>
      <c r="O231" s="57">
        <v>189</v>
      </c>
      <c r="P231" s="190">
        <v>194</v>
      </c>
      <c r="Q231" s="3"/>
      <c r="R231" s="18">
        <v>182</v>
      </c>
      <c r="U231" s="4">
        <f t="shared" si="7"/>
        <v>516</v>
      </c>
      <c r="V231" s="3">
        <f t="shared" si="8"/>
        <v>501</v>
      </c>
    </row>
    <row r="232" spans="13:22" x14ac:dyDescent="0.25">
      <c r="M232" s="2"/>
      <c r="O232" s="57">
        <v>190</v>
      </c>
      <c r="P232" s="190">
        <v>195</v>
      </c>
      <c r="Q232" s="3"/>
      <c r="R232" s="18">
        <v>183</v>
      </c>
      <c r="U232" s="4">
        <f t="shared" si="7"/>
        <v>519</v>
      </c>
      <c r="V232" s="3">
        <f t="shared" si="8"/>
        <v>504</v>
      </c>
    </row>
    <row r="233" spans="13:22" x14ac:dyDescent="0.25">
      <c r="M233" s="2"/>
      <c r="O233" s="57">
        <v>191</v>
      </c>
      <c r="P233" s="190">
        <v>196</v>
      </c>
      <c r="Q233" s="3"/>
      <c r="R233" s="18">
        <v>184</v>
      </c>
      <c r="U233" s="4">
        <f t="shared" si="7"/>
        <v>522</v>
      </c>
      <c r="V233" s="3">
        <f t="shared" si="8"/>
        <v>507</v>
      </c>
    </row>
    <row r="234" spans="13:22" x14ac:dyDescent="0.25">
      <c r="M234" s="2"/>
      <c r="O234" s="57">
        <v>192</v>
      </c>
      <c r="P234" s="190">
        <v>197</v>
      </c>
      <c r="Q234" s="3"/>
      <c r="R234" s="18">
        <v>185</v>
      </c>
      <c r="U234" s="4">
        <f t="shared" si="7"/>
        <v>525</v>
      </c>
      <c r="V234" s="3">
        <f t="shared" si="8"/>
        <v>510</v>
      </c>
    </row>
    <row r="235" spans="13:22" x14ac:dyDescent="0.25">
      <c r="M235" s="2"/>
      <c r="O235" s="57">
        <v>193</v>
      </c>
      <c r="P235" s="190">
        <v>198</v>
      </c>
      <c r="Q235" s="3"/>
      <c r="R235" s="18">
        <v>186</v>
      </c>
      <c r="U235" s="4">
        <f t="shared" si="7"/>
        <v>528</v>
      </c>
      <c r="V235" s="3">
        <f t="shared" si="8"/>
        <v>513</v>
      </c>
    </row>
    <row r="236" spans="13:22" x14ac:dyDescent="0.25">
      <c r="M236" s="2"/>
      <c r="O236" s="57">
        <v>194</v>
      </c>
      <c r="P236" s="190">
        <v>199</v>
      </c>
      <c r="Q236" s="3"/>
      <c r="R236" s="18">
        <v>187</v>
      </c>
      <c r="U236" s="4">
        <f t="shared" si="7"/>
        <v>531</v>
      </c>
      <c r="V236" s="3">
        <f t="shared" si="8"/>
        <v>516</v>
      </c>
    </row>
    <row r="237" spans="13:22" x14ac:dyDescent="0.25">
      <c r="M237" s="2"/>
      <c r="O237" s="57">
        <v>195</v>
      </c>
      <c r="P237" s="190">
        <v>200</v>
      </c>
      <c r="Q237" s="3"/>
      <c r="R237" s="18">
        <v>188</v>
      </c>
      <c r="U237" s="4">
        <f t="shared" si="7"/>
        <v>534</v>
      </c>
      <c r="V237" s="3">
        <f t="shared" si="8"/>
        <v>519</v>
      </c>
    </row>
    <row r="238" spans="13:22" x14ac:dyDescent="0.25">
      <c r="M238" s="2"/>
      <c r="O238" s="57">
        <v>196</v>
      </c>
      <c r="P238" s="190">
        <v>201</v>
      </c>
      <c r="Q238" s="3"/>
      <c r="R238" s="18">
        <v>189</v>
      </c>
      <c r="U238" s="4">
        <f t="shared" si="7"/>
        <v>537</v>
      </c>
      <c r="V238" s="3">
        <f t="shared" si="8"/>
        <v>522</v>
      </c>
    </row>
    <row r="239" spans="13:22" x14ac:dyDescent="0.25">
      <c r="M239" s="2"/>
      <c r="O239" s="57">
        <v>197</v>
      </c>
      <c r="P239" s="190">
        <v>202</v>
      </c>
      <c r="Q239" s="3"/>
      <c r="R239" s="18">
        <v>190</v>
      </c>
      <c r="U239" s="4">
        <f t="shared" si="7"/>
        <v>540</v>
      </c>
      <c r="V239" s="3">
        <f t="shared" si="8"/>
        <v>525</v>
      </c>
    </row>
    <row r="240" spans="13:22" x14ac:dyDescent="0.25">
      <c r="M240" s="2"/>
      <c r="O240" s="57">
        <v>198</v>
      </c>
      <c r="P240" s="190">
        <v>203</v>
      </c>
      <c r="Q240" s="3"/>
      <c r="R240" s="18">
        <v>191</v>
      </c>
      <c r="U240" s="4">
        <f t="shared" si="7"/>
        <v>543</v>
      </c>
      <c r="V240" s="3">
        <f t="shared" si="8"/>
        <v>528</v>
      </c>
    </row>
    <row r="241" spans="13:22" x14ac:dyDescent="0.25">
      <c r="M241" s="2"/>
      <c r="O241" s="57">
        <v>199</v>
      </c>
      <c r="P241" s="190">
        <v>204</v>
      </c>
      <c r="Q241" s="3"/>
      <c r="R241" s="18">
        <v>192</v>
      </c>
      <c r="U241" s="4">
        <f t="shared" si="7"/>
        <v>546</v>
      </c>
      <c r="V241" s="3">
        <f t="shared" si="8"/>
        <v>531</v>
      </c>
    </row>
    <row r="242" spans="13:22" x14ac:dyDescent="0.25">
      <c r="M242" s="2"/>
      <c r="O242" s="57">
        <v>200</v>
      </c>
      <c r="P242" s="190">
        <v>205</v>
      </c>
      <c r="Q242" s="3"/>
      <c r="R242" s="18">
        <v>193</v>
      </c>
      <c r="U242" s="4">
        <f t="shared" si="7"/>
        <v>549</v>
      </c>
      <c r="V242" s="3">
        <f t="shared" si="8"/>
        <v>534</v>
      </c>
    </row>
    <row r="243" spans="13:22" x14ac:dyDescent="0.25">
      <c r="M243" s="2"/>
      <c r="O243" s="57">
        <v>201</v>
      </c>
      <c r="P243" s="190">
        <v>206</v>
      </c>
      <c r="Q243" s="3"/>
      <c r="R243" s="18">
        <v>194</v>
      </c>
      <c r="U243" s="4">
        <f t="shared" si="7"/>
        <v>552</v>
      </c>
      <c r="V243" s="3">
        <f t="shared" si="8"/>
        <v>537</v>
      </c>
    </row>
    <row r="244" spans="13:22" x14ac:dyDescent="0.25">
      <c r="M244" s="2"/>
      <c r="O244" s="57">
        <v>202</v>
      </c>
      <c r="P244" s="190">
        <v>207</v>
      </c>
      <c r="Q244" s="3"/>
      <c r="R244" s="18">
        <v>195</v>
      </c>
      <c r="U244" s="4">
        <f t="shared" si="7"/>
        <v>555</v>
      </c>
      <c r="V244" s="3">
        <f t="shared" si="8"/>
        <v>540</v>
      </c>
    </row>
    <row r="245" spans="13:22" x14ac:dyDescent="0.25">
      <c r="M245" s="2"/>
      <c r="O245" s="57">
        <v>203</v>
      </c>
      <c r="P245" s="190">
        <v>208</v>
      </c>
      <c r="Q245" s="3"/>
      <c r="R245" s="18">
        <v>196</v>
      </c>
      <c r="U245" s="4">
        <f t="shared" si="7"/>
        <v>558</v>
      </c>
      <c r="V245" s="3">
        <f t="shared" si="8"/>
        <v>543</v>
      </c>
    </row>
    <row r="246" spans="13:22" x14ac:dyDescent="0.25">
      <c r="M246" s="2"/>
      <c r="O246" s="57">
        <v>204</v>
      </c>
      <c r="P246" s="190">
        <v>209</v>
      </c>
      <c r="Q246" s="3"/>
      <c r="R246" s="18">
        <v>197</v>
      </c>
      <c r="U246" s="4">
        <f t="shared" si="7"/>
        <v>561</v>
      </c>
      <c r="V246" s="3">
        <f t="shared" si="8"/>
        <v>546</v>
      </c>
    </row>
    <row r="247" spans="13:22" x14ac:dyDescent="0.25">
      <c r="M247" s="2"/>
      <c r="O247" s="57">
        <v>205</v>
      </c>
      <c r="P247" s="190">
        <v>210</v>
      </c>
      <c r="Q247" s="3"/>
      <c r="R247" s="18">
        <v>198</v>
      </c>
      <c r="U247" s="4">
        <f t="shared" si="7"/>
        <v>564</v>
      </c>
      <c r="V247" s="3">
        <f t="shared" si="8"/>
        <v>549</v>
      </c>
    </row>
    <row r="248" spans="13:22" x14ac:dyDescent="0.25">
      <c r="M248" s="2"/>
      <c r="O248" s="57">
        <v>206</v>
      </c>
      <c r="P248" s="190">
        <v>211</v>
      </c>
      <c r="Q248" s="3"/>
      <c r="R248" s="18">
        <v>199</v>
      </c>
      <c r="U248" s="4">
        <f t="shared" si="7"/>
        <v>567</v>
      </c>
      <c r="V248" s="3">
        <f t="shared" si="8"/>
        <v>552</v>
      </c>
    </row>
    <row r="249" spans="13:22" x14ac:dyDescent="0.25">
      <c r="M249" s="2"/>
      <c r="O249" s="57">
        <v>207</v>
      </c>
      <c r="P249" s="190">
        <v>212</v>
      </c>
      <c r="Q249" s="3"/>
      <c r="R249" s="18">
        <v>200</v>
      </c>
      <c r="U249" s="4">
        <f t="shared" si="7"/>
        <v>570</v>
      </c>
      <c r="V249" s="3">
        <f t="shared" si="8"/>
        <v>555</v>
      </c>
    </row>
    <row r="250" spans="13:22" x14ac:dyDescent="0.25">
      <c r="M250" s="2"/>
      <c r="O250" s="57">
        <v>208</v>
      </c>
      <c r="P250" s="190">
        <v>213</v>
      </c>
      <c r="Q250" s="3"/>
      <c r="R250" s="18">
        <v>201</v>
      </c>
      <c r="U250" s="4">
        <f t="shared" si="7"/>
        <v>573</v>
      </c>
      <c r="V250" s="3">
        <f t="shared" si="8"/>
        <v>558</v>
      </c>
    </row>
    <row r="251" spans="13:22" x14ac:dyDescent="0.25">
      <c r="M251" s="2"/>
      <c r="O251" s="57">
        <v>209</v>
      </c>
      <c r="P251" s="190">
        <v>214</v>
      </c>
      <c r="Q251" s="3"/>
      <c r="R251" s="18">
        <v>202</v>
      </c>
      <c r="U251" s="4">
        <f t="shared" si="7"/>
        <v>576</v>
      </c>
      <c r="V251" s="3">
        <f t="shared" si="8"/>
        <v>561</v>
      </c>
    </row>
    <row r="252" spans="13:22" x14ac:dyDescent="0.25">
      <c r="M252" s="2"/>
      <c r="O252" s="57">
        <v>210</v>
      </c>
      <c r="P252" s="190">
        <v>215</v>
      </c>
      <c r="Q252" s="3"/>
      <c r="R252" s="18">
        <v>203</v>
      </c>
      <c r="U252" s="4">
        <f t="shared" si="7"/>
        <v>579</v>
      </c>
      <c r="V252" s="3">
        <f t="shared" si="8"/>
        <v>564</v>
      </c>
    </row>
    <row r="253" spans="13:22" x14ac:dyDescent="0.25">
      <c r="M253" s="2"/>
      <c r="O253" s="57">
        <v>211</v>
      </c>
      <c r="P253" s="190">
        <v>216</v>
      </c>
      <c r="Q253" s="3"/>
      <c r="R253" s="18">
        <v>204</v>
      </c>
      <c r="U253" s="4">
        <f t="shared" ref="U253:U289" si="9">U252+3</f>
        <v>582</v>
      </c>
      <c r="V253" s="3">
        <f t="shared" si="8"/>
        <v>567</v>
      </c>
    </row>
    <row r="254" spans="13:22" x14ac:dyDescent="0.25">
      <c r="M254" s="2"/>
      <c r="O254" s="57">
        <v>212</v>
      </c>
      <c r="P254" s="190">
        <v>217</v>
      </c>
      <c r="Q254" s="3"/>
      <c r="R254" s="18">
        <v>205</v>
      </c>
      <c r="U254" s="4">
        <f t="shared" si="9"/>
        <v>585</v>
      </c>
      <c r="V254" s="3">
        <f t="shared" si="8"/>
        <v>570</v>
      </c>
    </row>
    <row r="255" spans="13:22" x14ac:dyDescent="0.25">
      <c r="M255" s="2"/>
      <c r="O255" s="57">
        <v>213</v>
      </c>
      <c r="P255" s="190">
        <v>218</v>
      </c>
      <c r="Q255" s="3"/>
      <c r="R255" s="18">
        <v>206</v>
      </c>
      <c r="U255" s="4">
        <f t="shared" si="9"/>
        <v>588</v>
      </c>
      <c r="V255" s="3">
        <f t="shared" si="8"/>
        <v>573</v>
      </c>
    </row>
    <row r="256" spans="13:22" x14ac:dyDescent="0.25">
      <c r="M256" s="2"/>
      <c r="O256" s="57">
        <v>214</v>
      </c>
      <c r="P256" s="190">
        <v>219</v>
      </c>
      <c r="Q256" s="3"/>
      <c r="R256" s="18">
        <v>207</v>
      </c>
      <c r="U256" s="4">
        <f t="shared" si="9"/>
        <v>591</v>
      </c>
      <c r="V256" s="3">
        <f t="shared" si="8"/>
        <v>576</v>
      </c>
    </row>
    <row r="257" spans="13:22" x14ac:dyDescent="0.25">
      <c r="M257" s="2"/>
      <c r="O257" s="57">
        <v>215</v>
      </c>
      <c r="P257" s="190">
        <v>220</v>
      </c>
      <c r="Q257" s="3"/>
      <c r="R257" s="18">
        <v>208</v>
      </c>
      <c r="U257" s="4">
        <f t="shared" si="9"/>
        <v>594</v>
      </c>
      <c r="V257" s="3">
        <f t="shared" si="8"/>
        <v>579</v>
      </c>
    </row>
    <row r="258" spans="13:22" x14ac:dyDescent="0.25">
      <c r="M258" s="2"/>
      <c r="O258" s="57">
        <v>216</v>
      </c>
      <c r="P258" s="190">
        <v>221</v>
      </c>
      <c r="Q258" s="3"/>
      <c r="R258" s="18">
        <v>209</v>
      </c>
      <c r="U258" s="4">
        <f t="shared" si="9"/>
        <v>597</v>
      </c>
      <c r="V258" s="3">
        <f t="shared" ref="V258:V321" si="10">V257+3</f>
        <v>582</v>
      </c>
    </row>
    <row r="259" spans="13:22" x14ac:dyDescent="0.25">
      <c r="M259" s="2"/>
      <c r="O259" s="57">
        <v>217</v>
      </c>
      <c r="P259" s="190">
        <v>222</v>
      </c>
      <c r="Q259" s="3"/>
      <c r="R259" s="18">
        <v>210</v>
      </c>
      <c r="U259" s="4">
        <f t="shared" si="9"/>
        <v>600</v>
      </c>
      <c r="V259" s="3">
        <f t="shared" si="10"/>
        <v>585</v>
      </c>
    </row>
    <row r="260" spans="13:22" x14ac:dyDescent="0.25">
      <c r="M260" s="2"/>
      <c r="O260" s="57">
        <v>218</v>
      </c>
      <c r="P260" s="190">
        <v>223</v>
      </c>
      <c r="Q260" s="3"/>
      <c r="R260" s="18">
        <v>211</v>
      </c>
      <c r="U260" s="4">
        <f t="shared" si="9"/>
        <v>603</v>
      </c>
      <c r="V260" s="3">
        <f t="shared" si="10"/>
        <v>588</v>
      </c>
    </row>
    <row r="261" spans="13:22" x14ac:dyDescent="0.25">
      <c r="M261" s="2"/>
      <c r="O261" s="57">
        <v>219</v>
      </c>
      <c r="P261" s="190">
        <v>224</v>
      </c>
      <c r="Q261" s="3"/>
      <c r="R261" s="18">
        <v>212</v>
      </c>
      <c r="U261" s="4">
        <f t="shared" si="9"/>
        <v>606</v>
      </c>
      <c r="V261" s="3">
        <f t="shared" si="10"/>
        <v>591</v>
      </c>
    </row>
    <row r="262" spans="13:22" x14ac:dyDescent="0.25">
      <c r="M262" s="2"/>
      <c r="O262" s="57">
        <v>220</v>
      </c>
      <c r="P262" s="190">
        <v>225</v>
      </c>
      <c r="Q262" s="3"/>
      <c r="R262" s="18">
        <v>213</v>
      </c>
      <c r="U262" s="4">
        <f t="shared" si="9"/>
        <v>609</v>
      </c>
      <c r="V262" s="3">
        <f t="shared" si="10"/>
        <v>594</v>
      </c>
    </row>
    <row r="263" spans="13:22" x14ac:dyDescent="0.25">
      <c r="M263" s="2"/>
      <c r="O263" s="57">
        <v>221</v>
      </c>
      <c r="P263" s="190">
        <v>226</v>
      </c>
      <c r="Q263" s="3"/>
      <c r="R263" s="18">
        <v>214</v>
      </c>
      <c r="U263" s="4">
        <f t="shared" si="9"/>
        <v>612</v>
      </c>
      <c r="V263" s="3">
        <f t="shared" si="10"/>
        <v>597</v>
      </c>
    </row>
    <row r="264" spans="13:22" x14ac:dyDescent="0.25">
      <c r="M264" s="2"/>
      <c r="O264" s="57">
        <v>222</v>
      </c>
      <c r="P264" s="190">
        <v>227</v>
      </c>
      <c r="Q264" s="3"/>
      <c r="R264" s="18">
        <v>215</v>
      </c>
      <c r="U264" s="4">
        <f t="shared" si="9"/>
        <v>615</v>
      </c>
      <c r="V264" s="3">
        <f t="shared" si="10"/>
        <v>600</v>
      </c>
    </row>
    <row r="265" spans="13:22" x14ac:dyDescent="0.25">
      <c r="M265" s="2"/>
      <c r="O265" s="57">
        <v>223</v>
      </c>
      <c r="P265" s="190">
        <v>228</v>
      </c>
      <c r="Q265" s="3"/>
      <c r="R265" s="18">
        <v>216</v>
      </c>
      <c r="U265" s="4">
        <f t="shared" si="9"/>
        <v>618</v>
      </c>
      <c r="V265" s="3">
        <f t="shared" si="10"/>
        <v>603</v>
      </c>
    </row>
    <row r="266" spans="13:22" x14ac:dyDescent="0.25">
      <c r="M266" s="2"/>
      <c r="O266" s="57">
        <v>224</v>
      </c>
      <c r="P266" s="190">
        <v>229</v>
      </c>
      <c r="Q266" s="3"/>
      <c r="R266" s="18">
        <v>217</v>
      </c>
      <c r="U266" s="4">
        <f t="shared" si="9"/>
        <v>621</v>
      </c>
      <c r="V266" s="3">
        <f t="shared" si="10"/>
        <v>606</v>
      </c>
    </row>
    <row r="267" spans="13:22" x14ac:dyDescent="0.25">
      <c r="M267" s="2"/>
      <c r="O267" s="57">
        <v>225</v>
      </c>
      <c r="P267" s="190">
        <v>230</v>
      </c>
      <c r="Q267" s="3"/>
      <c r="R267" s="18">
        <v>218</v>
      </c>
      <c r="U267" s="4">
        <f t="shared" si="9"/>
        <v>624</v>
      </c>
      <c r="V267" s="3">
        <f t="shared" si="10"/>
        <v>609</v>
      </c>
    </row>
    <row r="268" spans="13:22" x14ac:dyDescent="0.25">
      <c r="M268" s="2"/>
      <c r="O268" s="57">
        <v>226</v>
      </c>
      <c r="P268" s="190">
        <v>231</v>
      </c>
      <c r="Q268" s="3"/>
      <c r="R268" s="18">
        <v>219</v>
      </c>
      <c r="U268" s="4">
        <f t="shared" si="9"/>
        <v>627</v>
      </c>
      <c r="V268" s="3">
        <f t="shared" si="10"/>
        <v>612</v>
      </c>
    </row>
    <row r="269" spans="13:22" x14ac:dyDescent="0.25">
      <c r="M269" s="2"/>
      <c r="O269" s="57">
        <v>227</v>
      </c>
      <c r="P269" s="190">
        <v>232</v>
      </c>
      <c r="Q269" s="3"/>
      <c r="R269" s="18">
        <v>220</v>
      </c>
      <c r="U269" s="4">
        <f t="shared" si="9"/>
        <v>630</v>
      </c>
      <c r="V269" s="3">
        <f t="shared" si="10"/>
        <v>615</v>
      </c>
    </row>
    <row r="270" spans="13:22" x14ac:dyDescent="0.25">
      <c r="M270" s="2"/>
      <c r="O270" s="57">
        <v>228</v>
      </c>
      <c r="P270" s="190">
        <v>233</v>
      </c>
      <c r="Q270" s="3"/>
      <c r="R270" s="18">
        <v>221</v>
      </c>
      <c r="U270" s="4">
        <f t="shared" si="9"/>
        <v>633</v>
      </c>
      <c r="V270" s="3">
        <f t="shared" si="10"/>
        <v>618</v>
      </c>
    </row>
    <row r="271" spans="13:22" x14ac:dyDescent="0.25">
      <c r="M271" s="2"/>
      <c r="O271" s="57">
        <v>229</v>
      </c>
      <c r="P271" s="190">
        <v>234</v>
      </c>
      <c r="Q271" s="3"/>
      <c r="R271" s="18">
        <v>222</v>
      </c>
      <c r="U271" s="4">
        <f t="shared" si="9"/>
        <v>636</v>
      </c>
      <c r="V271" s="3">
        <f t="shared" si="10"/>
        <v>621</v>
      </c>
    </row>
    <row r="272" spans="13:22" x14ac:dyDescent="0.25">
      <c r="M272" s="2"/>
      <c r="O272" s="57">
        <v>230</v>
      </c>
      <c r="P272" s="190">
        <v>235</v>
      </c>
      <c r="Q272" s="3"/>
      <c r="R272" s="18">
        <v>223</v>
      </c>
      <c r="U272" s="4">
        <f t="shared" si="9"/>
        <v>639</v>
      </c>
      <c r="V272" s="3">
        <f t="shared" si="10"/>
        <v>624</v>
      </c>
    </row>
    <row r="273" spans="13:22" x14ac:dyDescent="0.25">
      <c r="M273" s="2"/>
      <c r="O273" s="57">
        <v>231</v>
      </c>
      <c r="P273" s="190">
        <v>236</v>
      </c>
      <c r="Q273" s="3"/>
      <c r="R273" s="18">
        <v>224</v>
      </c>
      <c r="U273" s="4">
        <f t="shared" si="9"/>
        <v>642</v>
      </c>
      <c r="V273" s="3">
        <f t="shared" si="10"/>
        <v>627</v>
      </c>
    </row>
    <row r="274" spans="13:22" x14ac:dyDescent="0.25">
      <c r="M274" s="2"/>
      <c r="O274" s="57">
        <v>232</v>
      </c>
      <c r="P274" s="190">
        <v>237</v>
      </c>
      <c r="Q274" s="3"/>
      <c r="R274" s="18">
        <v>225</v>
      </c>
      <c r="U274" s="4">
        <f t="shared" si="9"/>
        <v>645</v>
      </c>
      <c r="V274" s="3">
        <f t="shared" si="10"/>
        <v>630</v>
      </c>
    </row>
    <row r="275" spans="13:22" x14ac:dyDescent="0.25">
      <c r="M275" s="2"/>
      <c r="O275" s="57">
        <v>233</v>
      </c>
      <c r="P275" s="190">
        <v>238</v>
      </c>
      <c r="Q275" s="3"/>
      <c r="R275" s="18">
        <v>226</v>
      </c>
      <c r="U275" s="4">
        <f t="shared" si="9"/>
        <v>648</v>
      </c>
      <c r="V275" s="3">
        <f t="shared" si="10"/>
        <v>633</v>
      </c>
    </row>
    <row r="276" spans="13:22" x14ac:dyDescent="0.25">
      <c r="M276" s="2"/>
      <c r="O276" s="57">
        <v>234</v>
      </c>
      <c r="P276" s="190">
        <v>239</v>
      </c>
      <c r="Q276" s="3"/>
      <c r="R276" s="18">
        <v>227</v>
      </c>
      <c r="U276" s="4">
        <f t="shared" si="9"/>
        <v>651</v>
      </c>
      <c r="V276" s="3">
        <f t="shared" si="10"/>
        <v>636</v>
      </c>
    </row>
    <row r="277" spans="13:22" x14ac:dyDescent="0.25">
      <c r="M277" s="2"/>
      <c r="O277" s="57">
        <v>235</v>
      </c>
      <c r="P277" s="190">
        <v>240</v>
      </c>
      <c r="Q277" s="3"/>
      <c r="R277" s="18">
        <v>228</v>
      </c>
      <c r="U277" s="4">
        <f t="shared" si="9"/>
        <v>654</v>
      </c>
      <c r="V277" s="3">
        <f t="shared" si="10"/>
        <v>639</v>
      </c>
    </row>
    <row r="278" spans="13:22" x14ac:dyDescent="0.25">
      <c r="M278" s="2"/>
      <c r="O278" s="57">
        <v>236</v>
      </c>
      <c r="P278" s="190">
        <v>241</v>
      </c>
      <c r="Q278" s="3"/>
      <c r="R278" s="18">
        <v>229</v>
      </c>
      <c r="U278" s="4">
        <f t="shared" si="9"/>
        <v>657</v>
      </c>
      <c r="V278" s="3">
        <f t="shared" si="10"/>
        <v>642</v>
      </c>
    </row>
    <row r="279" spans="13:22" x14ac:dyDescent="0.25">
      <c r="M279" s="2"/>
      <c r="O279" s="57">
        <v>237</v>
      </c>
      <c r="P279" s="190">
        <v>242</v>
      </c>
      <c r="Q279" s="3"/>
      <c r="R279" s="18">
        <v>230</v>
      </c>
      <c r="U279" s="4">
        <f t="shared" si="9"/>
        <v>660</v>
      </c>
      <c r="V279" s="3">
        <f t="shared" si="10"/>
        <v>645</v>
      </c>
    </row>
    <row r="280" spans="13:22" x14ac:dyDescent="0.25">
      <c r="M280" s="2"/>
      <c r="O280" s="57">
        <v>238</v>
      </c>
      <c r="P280" s="190">
        <v>243</v>
      </c>
      <c r="Q280" s="3"/>
      <c r="R280" s="18">
        <v>231</v>
      </c>
      <c r="U280" s="4">
        <f t="shared" si="9"/>
        <v>663</v>
      </c>
      <c r="V280" s="3">
        <f t="shared" si="10"/>
        <v>648</v>
      </c>
    </row>
    <row r="281" spans="13:22" x14ac:dyDescent="0.25">
      <c r="M281" s="2"/>
      <c r="O281" s="57">
        <v>239</v>
      </c>
      <c r="P281" s="190">
        <v>244</v>
      </c>
      <c r="Q281" s="3"/>
      <c r="R281" s="18">
        <v>232</v>
      </c>
      <c r="U281" s="4">
        <f t="shared" si="9"/>
        <v>666</v>
      </c>
      <c r="V281" s="3">
        <f t="shared" si="10"/>
        <v>651</v>
      </c>
    </row>
    <row r="282" spans="13:22" x14ac:dyDescent="0.25">
      <c r="M282" s="2"/>
      <c r="O282" s="57">
        <v>240</v>
      </c>
      <c r="P282" s="190">
        <v>245</v>
      </c>
      <c r="Q282" s="3"/>
      <c r="R282" s="18">
        <v>233</v>
      </c>
      <c r="U282" s="4">
        <f t="shared" si="9"/>
        <v>669</v>
      </c>
      <c r="V282" s="3">
        <f t="shared" si="10"/>
        <v>654</v>
      </c>
    </row>
    <row r="283" spans="13:22" x14ac:dyDescent="0.25">
      <c r="M283" s="2"/>
      <c r="P283" s="190">
        <v>246</v>
      </c>
      <c r="Q283" s="3"/>
      <c r="R283" s="18">
        <v>234</v>
      </c>
      <c r="U283" s="4">
        <f t="shared" si="9"/>
        <v>672</v>
      </c>
      <c r="V283" s="3">
        <f t="shared" si="10"/>
        <v>657</v>
      </c>
    </row>
    <row r="284" spans="13:22" x14ac:dyDescent="0.25">
      <c r="M284" s="2"/>
      <c r="P284" s="190">
        <v>247</v>
      </c>
      <c r="Q284" s="3"/>
      <c r="R284" s="18">
        <v>235</v>
      </c>
      <c r="U284" s="4">
        <f t="shared" si="9"/>
        <v>675</v>
      </c>
      <c r="V284" s="3">
        <f t="shared" si="10"/>
        <v>660</v>
      </c>
    </row>
    <row r="285" spans="13:22" x14ac:dyDescent="0.25">
      <c r="M285" s="2"/>
      <c r="P285" s="190">
        <v>248</v>
      </c>
      <c r="Q285" s="3"/>
      <c r="R285" s="18">
        <v>236</v>
      </c>
      <c r="U285" s="4">
        <f t="shared" si="9"/>
        <v>678</v>
      </c>
      <c r="V285" s="3">
        <f t="shared" si="10"/>
        <v>663</v>
      </c>
    </row>
    <row r="286" spans="13:22" x14ac:dyDescent="0.25">
      <c r="M286" s="2"/>
      <c r="P286" s="190">
        <v>249</v>
      </c>
      <c r="Q286" s="3"/>
      <c r="R286" s="18">
        <v>237</v>
      </c>
      <c r="U286" s="4">
        <f t="shared" si="9"/>
        <v>681</v>
      </c>
      <c r="V286" s="3">
        <f t="shared" si="10"/>
        <v>666</v>
      </c>
    </row>
    <row r="287" spans="13:22" x14ac:dyDescent="0.25">
      <c r="M287" s="2"/>
      <c r="P287" s="190">
        <v>250</v>
      </c>
      <c r="Q287" s="3"/>
      <c r="R287" s="18">
        <v>238</v>
      </c>
      <c r="U287" s="4">
        <f t="shared" si="9"/>
        <v>684</v>
      </c>
      <c r="V287" s="3">
        <f t="shared" si="10"/>
        <v>669</v>
      </c>
    </row>
    <row r="288" spans="13:22" x14ac:dyDescent="0.25">
      <c r="M288" s="2"/>
      <c r="P288" s="190">
        <v>251</v>
      </c>
      <c r="Q288" s="3"/>
      <c r="R288" s="18">
        <v>239</v>
      </c>
      <c r="U288" s="4">
        <f t="shared" si="9"/>
        <v>687</v>
      </c>
      <c r="V288" s="3">
        <f t="shared" si="10"/>
        <v>672</v>
      </c>
    </row>
    <row r="289" spans="13:22" x14ac:dyDescent="0.25">
      <c r="M289" s="2"/>
      <c r="P289" s="190">
        <v>252</v>
      </c>
      <c r="Q289" s="3"/>
      <c r="R289" s="18">
        <v>240</v>
      </c>
      <c r="U289" s="4">
        <f t="shared" si="9"/>
        <v>690</v>
      </c>
      <c r="V289" s="3">
        <f t="shared" si="10"/>
        <v>675</v>
      </c>
    </row>
    <row r="290" spans="13:22" x14ac:dyDescent="0.25">
      <c r="M290" s="2"/>
      <c r="P290" s="190">
        <v>253</v>
      </c>
      <c r="Q290" s="3"/>
      <c r="R290" s="18">
        <v>241</v>
      </c>
      <c r="V290" s="3">
        <f t="shared" si="10"/>
        <v>678</v>
      </c>
    </row>
    <row r="291" spans="13:22" x14ac:dyDescent="0.25">
      <c r="M291" s="2"/>
      <c r="P291" s="190">
        <v>254</v>
      </c>
      <c r="Q291" s="3"/>
      <c r="R291" s="18">
        <v>242</v>
      </c>
      <c r="V291" s="3">
        <f t="shared" si="10"/>
        <v>681</v>
      </c>
    </row>
    <row r="292" spans="13:22" x14ac:dyDescent="0.25">
      <c r="M292" s="2"/>
      <c r="P292" s="190">
        <v>255</v>
      </c>
      <c r="Q292" s="3"/>
      <c r="R292" s="18">
        <v>243</v>
      </c>
      <c r="V292" s="3">
        <f t="shared" si="10"/>
        <v>684</v>
      </c>
    </row>
    <row r="293" spans="13:22" x14ac:dyDescent="0.25">
      <c r="M293" s="2"/>
      <c r="P293" s="190">
        <v>256</v>
      </c>
      <c r="Q293" s="3"/>
      <c r="R293" s="18">
        <v>244</v>
      </c>
      <c r="V293" s="3">
        <f t="shared" si="10"/>
        <v>687</v>
      </c>
    </row>
    <row r="294" spans="13:22" x14ac:dyDescent="0.25">
      <c r="M294" s="2"/>
      <c r="P294" s="190">
        <v>257</v>
      </c>
      <c r="Q294" s="3"/>
      <c r="R294" s="18">
        <v>245</v>
      </c>
      <c r="V294" s="3">
        <f t="shared" si="10"/>
        <v>690</v>
      </c>
    </row>
    <row r="295" spans="13:22" x14ac:dyDescent="0.25">
      <c r="M295" s="2"/>
      <c r="P295" s="190">
        <v>258</v>
      </c>
      <c r="Q295" s="3"/>
      <c r="R295" s="18">
        <v>246</v>
      </c>
      <c r="V295" s="3">
        <f t="shared" si="10"/>
        <v>693</v>
      </c>
    </row>
    <row r="296" spans="13:22" x14ac:dyDescent="0.25">
      <c r="M296" s="2"/>
      <c r="P296" s="190">
        <v>259</v>
      </c>
      <c r="Q296" s="3"/>
      <c r="R296" s="18">
        <v>247</v>
      </c>
      <c r="V296" s="3">
        <f t="shared" si="10"/>
        <v>696</v>
      </c>
    </row>
    <row r="297" spans="13:22" x14ac:dyDescent="0.25">
      <c r="M297" s="2"/>
      <c r="P297" s="190">
        <v>260</v>
      </c>
      <c r="Q297" s="3"/>
      <c r="R297" s="18">
        <v>248</v>
      </c>
      <c r="V297" s="3">
        <f t="shared" si="10"/>
        <v>699</v>
      </c>
    </row>
    <row r="298" spans="13:22" x14ac:dyDescent="0.25">
      <c r="M298" s="2"/>
      <c r="P298" s="190">
        <v>261</v>
      </c>
      <c r="Q298" s="3"/>
      <c r="R298" s="18">
        <v>249</v>
      </c>
      <c r="V298" s="3">
        <f t="shared" si="10"/>
        <v>702</v>
      </c>
    </row>
    <row r="299" spans="13:22" x14ac:dyDescent="0.25">
      <c r="M299" s="2"/>
      <c r="P299" s="190">
        <v>262</v>
      </c>
      <c r="Q299" s="3"/>
      <c r="R299" s="18">
        <v>250</v>
      </c>
      <c r="V299" s="3">
        <f t="shared" si="10"/>
        <v>705</v>
      </c>
    </row>
    <row r="300" spans="13:22" x14ac:dyDescent="0.25">
      <c r="M300" s="2"/>
      <c r="P300" s="190">
        <v>263</v>
      </c>
      <c r="Q300" s="3"/>
      <c r="R300" s="18">
        <v>251</v>
      </c>
      <c r="V300" s="3">
        <f t="shared" si="10"/>
        <v>708</v>
      </c>
    </row>
    <row r="301" spans="13:22" x14ac:dyDescent="0.25">
      <c r="M301" s="2"/>
      <c r="P301" s="190">
        <v>264</v>
      </c>
      <c r="Q301" s="3"/>
      <c r="R301" s="18">
        <v>252</v>
      </c>
      <c r="V301" s="3">
        <f t="shared" si="10"/>
        <v>711</v>
      </c>
    </row>
    <row r="302" spans="13:22" x14ac:dyDescent="0.25">
      <c r="M302" s="2"/>
      <c r="P302" s="190">
        <v>265</v>
      </c>
      <c r="Q302" s="3"/>
      <c r="R302" s="18">
        <v>253</v>
      </c>
      <c r="V302" s="3">
        <f t="shared" si="10"/>
        <v>714</v>
      </c>
    </row>
    <row r="303" spans="13:22" x14ac:dyDescent="0.25">
      <c r="M303" s="2"/>
      <c r="P303" s="190">
        <v>266</v>
      </c>
      <c r="Q303" s="3"/>
      <c r="R303" s="18">
        <v>254</v>
      </c>
      <c r="V303" s="3">
        <f t="shared" si="10"/>
        <v>717</v>
      </c>
    </row>
    <row r="304" spans="13:22" x14ac:dyDescent="0.25">
      <c r="M304" s="2"/>
      <c r="P304" s="190">
        <v>267</v>
      </c>
      <c r="Q304" s="3"/>
      <c r="R304" s="18">
        <v>255</v>
      </c>
      <c r="V304" s="3">
        <f t="shared" si="10"/>
        <v>720</v>
      </c>
    </row>
    <row r="305" spans="13:22" x14ac:dyDescent="0.25">
      <c r="M305" s="2"/>
      <c r="P305" s="190">
        <v>268</v>
      </c>
      <c r="Q305" s="3"/>
      <c r="R305" s="18">
        <v>256</v>
      </c>
      <c r="V305" s="3">
        <f t="shared" si="10"/>
        <v>723</v>
      </c>
    </row>
    <row r="306" spans="13:22" x14ac:dyDescent="0.25">
      <c r="M306" s="2"/>
      <c r="P306" s="190">
        <v>269</v>
      </c>
      <c r="Q306" s="3"/>
      <c r="R306" s="18">
        <v>257</v>
      </c>
      <c r="V306" s="3">
        <f t="shared" si="10"/>
        <v>726</v>
      </c>
    </row>
    <row r="307" spans="13:22" x14ac:dyDescent="0.25">
      <c r="M307" s="2"/>
      <c r="P307" s="190">
        <v>270</v>
      </c>
      <c r="Q307" s="3"/>
      <c r="R307" s="18">
        <v>258</v>
      </c>
      <c r="V307" s="3">
        <f t="shared" si="10"/>
        <v>729</v>
      </c>
    </row>
    <row r="308" spans="13:22" x14ac:dyDescent="0.25">
      <c r="M308" s="2"/>
      <c r="P308" s="190">
        <v>271</v>
      </c>
      <c r="Q308" s="3"/>
      <c r="R308" s="18">
        <v>259</v>
      </c>
      <c r="V308" s="3">
        <f t="shared" si="10"/>
        <v>732</v>
      </c>
    </row>
    <row r="309" spans="13:22" x14ac:dyDescent="0.25">
      <c r="M309" s="2"/>
      <c r="P309" s="190">
        <v>272</v>
      </c>
      <c r="Q309" s="3"/>
      <c r="R309" s="18">
        <v>260</v>
      </c>
      <c r="V309" s="3">
        <f t="shared" si="10"/>
        <v>735</v>
      </c>
    </row>
    <row r="310" spans="13:22" x14ac:dyDescent="0.25">
      <c r="M310" s="2"/>
      <c r="P310" s="190">
        <v>273</v>
      </c>
      <c r="Q310" s="3"/>
      <c r="R310" s="18">
        <v>261</v>
      </c>
      <c r="V310" s="3">
        <f t="shared" si="10"/>
        <v>738</v>
      </c>
    </row>
    <row r="311" spans="13:22" x14ac:dyDescent="0.25">
      <c r="M311" s="2"/>
      <c r="P311" s="190">
        <v>274</v>
      </c>
      <c r="Q311" s="3"/>
      <c r="R311" s="18">
        <v>262</v>
      </c>
      <c r="V311" s="3">
        <f t="shared" si="10"/>
        <v>741</v>
      </c>
    </row>
    <row r="312" spans="13:22" x14ac:dyDescent="0.25">
      <c r="M312" s="2"/>
      <c r="P312" s="190">
        <v>275</v>
      </c>
      <c r="Q312" s="3"/>
      <c r="R312" s="18">
        <v>263</v>
      </c>
      <c r="V312" s="3">
        <f t="shared" si="10"/>
        <v>744</v>
      </c>
    </row>
    <row r="313" spans="13:22" x14ac:dyDescent="0.25">
      <c r="M313" s="2"/>
      <c r="P313" s="190">
        <v>276</v>
      </c>
      <c r="Q313" s="3"/>
      <c r="R313" s="18">
        <v>264</v>
      </c>
      <c r="V313" s="3">
        <f t="shared" si="10"/>
        <v>747</v>
      </c>
    </row>
    <row r="314" spans="13:22" x14ac:dyDescent="0.25">
      <c r="M314" s="2"/>
      <c r="P314" s="190">
        <v>277</v>
      </c>
      <c r="Q314" s="3"/>
      <c r="R314" s="18">
        <v>265</v>
      </c>
      <c r="V314" s="3">
        <f t="shared" si="10"/>
        <v>750</v>
      </c>
    </row>
    <row r="315" spans="13:22" x14ac:dyDescent="0.25">
      <c r="M315" s="2"/>
      <c r="P315" s="190">
        <v>278</v>
      </c>
      <c r="Q315" s="3"/>
      <c r="R315" s="18">
        <v>266</v>
      </c>
      <c r="V315" s="3">
        <f t="shared" si="10"/>
        <v>753</v>
      </c>
    </row>
    <row r="316" spans="13:22" x14ac:dyDescent="0.25">
      <c r="M316" s="2"/>
      <c r="P316" s="190">
        <v>279</v>
      </c>
      <c r="Q316" s="3"/>
      <c r="R316" s="18">
        <v>267</v>
      </c>
      <c r="V316" s="3">
        <f t="shared" si="10"/>
        <v>756</v>
      </c>
    </row>
    <row r="317" spans="13:22" x14ac:dyDescent="0.25">
      <c r="M317" s="2"/>
      <c r="P317" s="190">
        <v>280</v>
      </c>
      <c r="Q317" s="3"/>
      <c r="R317" s="18">
        <v>268</v>
      </c>
      <c r="V317" s="3">
        <f t="shared" si="10"/>
        <v>759</v>
      </c>
    </row>
    <row r="318" spans="13:22" x14ac:dyDescent="0.25">
      <c r="M318" s="2"/>
      <c r="P318" s="190">
        <v>281</v>
      </c>
      <c r="Q318" s="3"/>
      <c r="R318" s="18">
        <v>269</v>
      </c>
      <c r="V318" s="3">
        <f t="shared" si="10"/>
        <v>762</v>
      </c>
    </row>
    <row r="319" spans="13:22" x14ac:dyDescent="0.25">
      <c r="M319" s="2"/>
      <c r="P319" s="190">
        <v>282</v>
      </c>
      <c r="Q319" s="3"/>
      <c r="R319" s="18">
        <v>270</v>
      </c>
      <c r="V319" s="3">
        <f t="shared" si="10"/>
        <v>765</v>
      </c>
    </row>
    <row r="320" spans="13:22" x14ac:dyDescent="0.25">
      <c r="M320" s="2"/>
      <c r="P320" s="190">
        <v>283</v>
      </c>
      <c r="Q320" s="3"/>
      <c r="R320" s="18">
        <v>271</v>
      </c>
      <c r="V320" s="3">
        <f t="shared" si="10"/>
        <v>768</v>
      </c>
    </row>
    <row r="321" spans="13:22" x14ac:dyDescent="0.25">
      <c r="M321" s="2"/>
      <c r="P321" s="190">
        <v>284</v>
      </c>
      <c r="Q321" s="3"/>
      <c r="R321" s="18">
        <v>272</v>
      </c>
      <c r="V321" s="3">
        <f t="shared" si="10"/>
        <v>771</v>
      </c>
    </row>
    <row r="322" spans="13:22" x14ac:dyDescent="0.25">
      <c r="M322" s="2"/>
      <c r="P322" s="190">
        <v>285</v>
      </c>
      <c r="Q322" s="3"/>
      <c r="R322" s="18">
        <v>273</v>
      </c>
      <c r="V322" s="3">
        <f t="shared" ref="V322:V385" si="11">V321+3</f>
        <v>774</v>
      </c>
    </row>
    <row r="323" spans="13:22" x14ac:dyDescent="0.25">
      <c r="M323" s="2"/>
      <c r="P323" s="190">
        <v>286</v>
      </c>
      <c r="Q323" s="3"/>
      <c r="R323" s="18">
        <v>274</v>
      </c>
      <c r="V323" s="3">
        <f t="shared" si="11"/>
        <v>777</v>
      </c>
    </row>
    <row r="324" spans="13:22" x14ac:dyDescent="0.25">
      <c r="M324" s="2"/>
      <c r="P324" s="190">
        <v>287</v>
      </c>
      <c r="Q324" s="3"/>
      <c r="R324" s="18">
        <v>275</v>
      </c>
      <c r="V324" s="3">
        <f t="shared" si="11"/>
        <v>780</v>
      </c>
    </row>
    <row r="325" spans="13:22" x14ac:dyDescent="0.25">
      <c r="M325" s="2"/>
      <c r="P325" s="190">
        <v>288</v>
      </c>
      <c r="Q325" s="3"/>
      <c r="R325" s="18">
        <v>276</v>
      </c>
      <c r="V325" s="3">
        <f t="shared" si="11"/>
        <v>783</v>
      </c>
    </row>
    <row r="326" spans="13:22" x14ac:dyDescent="0.25">
      <c r="M326" s="2"/>
      <c r="P326" s="190">
        <v>289</v>
      </c>
      <c r="Q326" s="3"/>
      <c r="R326" s="18">
        <v>277</v>
      </c>
      <c r="V326" s="3">
        <f t="shared" si="11"/>
        <v>786</v>
      </c>
    </row>
    <row r="327" spans="13:22" x14ac:dyDescent="0.25">
      <c r="M327" s="2"/>
      <c r="P327" s="190">
        <v>290</v>
      </c>
      <c r="Q327" s="3"/>
      <c r="R327" s="18">
        <v>278</v>
      </c>
      <c r="V327" s="3">
        <f t="shared" si="11"/>
        <v>789</v>
      </c>
    </row>
    <row r="328" spans="13:22" x14ac:dyDescent="0.25">
      <c r="M328" s="2"/>
      <c r="P328" s="190">
        <v>291</v>
      </c>
      <c r="Q328" s="3"/>
      <c r="R328" s="18">
        <v>279</v>
      </c>
      <c r="V328" s="3">
        <f t="shared" si="11"/>
        <v>792</v>
      </c>
    </row>
    <row r="329" spans="13:22" x14ac:dyDescent="0.25">
      <c r="M329" s="2"/>
      <c r="P329" s="190">
        <v>292</v>
      </c>
      <c r="Q329" s="3"/>
      <c r="R329" s="18">
        <v>280</v>
      </c>
      <c r="V329" s="3">
        <f t="shared" si="11"/>
        <v>795</v>
      </c>
    </row>
    <row r="330" spans="13:22" x14ac:dyDescent="0.25">
      <c r="M330" s="2"/>
      <c r="P330" s="190">
        <v>293</v>
      </c>
      <c r="Q330" s="3"/>
      <c r="R330" s="18">
        <v>281</v>
      </c>
      <c r="V330" s="3">
        <f t="shared" si="11"/>
        <v>798</v>
      </c>
    </row>
    <row r="331" spans="13:22" x14ac:dyDescent="0.25">
      <c r="M331" s="2"/>
      <c r="P331" s="190">
        <v>294</v>
      </c>
      <c r="Q331" s="3"/>
      <c r="R331" s="18">
        <v>282</v>
      </c>
      <c r="V331" s="3">
        <f t="shared" si="11"/>
        <v>801</v>
      </c>
    </row>
    <row r="332" spans="13:22" x14ac:dyDescent="0.25">
      <c r="M332" s="2"/>
      <c r="P332" s="190">
        <v>295</v>
      </c>
      <c r="Q332" s="3"/>
      <c r="R332" s="18">
        <v>283</v>
      </c>
      <c r="V332" s="3">
        <f t="shared" si="11"/>
        <v>804</v>
      </c>
    </row>
    <row r="333" spans="13:22" x14ac:dyDescent="0.25">
      <c r="M333" s="2"/>
      <c r="P333" s="190">
        <v>296</v>
      </c>
      <c r="Q333" s="3"/>
      <c r="R333" s="18">
        <v>284</v>
      </c>
      <c r="V333" s="3">
        <f t="shared" si="11"/>
        <v>807</v>
      </c>
    </row>
    <row r="334" spans="13:22" x14ac:dyDescent="0.25">
      <c r="M334" s="2"/>
      <c r="P334" s="190">
        <v>297</v>
      </c>
      <c r="Q334" s="3"/>
      <c r="R334" s="18">
        <v>285</v>
      </c>
      <c r="V334" s="3">
        <f t="shared" si="11"/>
        <v>810</v>
      </c>
    </row>
    <row r="335" spans="13:22" x14ac:dyDescent="0.25">
      <c r="M335" s="2"/>
      <c r="P335" s="190">
        <v>298</v>
      </c>
      <c r="Q335" s="3"/>
      <c r="R335" s="18">
        <v>286</v>
      </c>
      <c r="V335" s="3">
        <f t="shared" si="11"/>
        <v>813</v>
      </c>
    </row>
    <row r="336" spans="13:22" x14ac:dyDescent="0.25">
      <c r="M336" s="2"/>
      <c r="P336" s="190">
        <v>299</v>
      </c>
      <c r="Q336" s="3"/>
      <c r="R336" s="18">
        <v>287</v>
      </c>
      <c r="V336" s="3">
        <f t="shared" si="11"/>
        <v>816</v>
      </c>
    </row>
    <row r="337" spans="13:22" x14ac:dyDescent="0.25">
      <c r="M337" s="2"/>
      <c r="P337" s="190">
        <v>300</v>
      </c>
      <c r="Q337" s="3"/>
      <c r="R337" s="18">
        <v>288</v>
      </c>
      <c r="V337" s="3">
        <f t="shared" si="11"/>
        <v>819</v>
      </c>
    </row>
    <row r="338" spans="13:22" x14ac:dyDescent="0.25">
      <c r="M338" s="2"/>
      <c r="P338" s="190">
        <v>301</v>
      </c>
      <c r="Q338" s="3"/>
      <c r="R338" s="18">
        <v>289</v>
      </c>
      <c r="V338" s="3">
        <f t="shared" si="11"/>
        <v>822</v>
      </c>
    </row>
    <row r="339" spans="13:22" x14ac:dyDescent="0.25">
      <c r="M339" s="2"/>
      <c r="P339" s="190">
        <v>302</v>
      </c>
      <c r="Q339" s="3"/>
      <c r="R339" s="18">
        <v>290</v>
      </c>
      <c r="V339" s="3">
        <f t="shared" si="11"/>
        <v>825</v>
      </c>
    </row>
    <row r="340" spans="13:22" x14ac:dyDescent="0.25">
      <c r="M340" s="2"/>
      <c r="P340" s="190">
        <v>303</v>
      </c>
      <c r="Q340" s="3"/>
      <c r="R340" s="18">
        <v>291</v>
      </c>
      <c r="V340" s="3">
        <f t="shared" si="11"/>
        <v>828</v>
      </c>
    </row>
    <row r="341" spans="13:22" x14ac:dyDescent="0.25">
      <c r="M341" s="2"/>
      <c r="P341" s="190">
        <v>304</v>
      </c>
      <c r="Q341" s="3"/>
      <c r="R341" s="18">
        <v>292</v>
      </c>
      <c r="V341" s="3">
        <f t="shared" si="11"/>
        <v>831</v>
      </c>
    </row>
    <row r="342" spans="13:22" x14ac:dyDescent="0.25">
      <c r="M342" s="2"/>
      <c r="P342" s="190">
        <v>305</v>
      </c>
      <c r="Q342" s="3"/>
      <c r="R342" s="18">
        <v>293</v>
      </c>
      <c r="V342" s="3">
        <f t="shared" si="11"/>
        <v>834</v>
      </c>
    </row>
    <row r="343" spans="13:22" x14ac:dyDescent="0.25">
      <c r="M343" s="2"/>
      <c r="P343" s="190">
        <v>306</v>
      </c>
      <c r="Q343" s="3"/>
      <c r="R343" s="18">
        <v>294</v>
      </c>
      <c r="V343" s="3">
        <f t="shared" si="11"/>
        <v>837</v>
      </c>
    </row>
    <row r="344" spans="13:22" x14ac:dyDescent="0.25">
      <c r="M344" s="2"/>
      <c r="P344" s="190">
        <v>307</v>
      </c>
      <c r="Q344" s="3"/>
      <c r="R344" s="18">
        <v>295</v>
      </c>
      <c r="V344" s="3">
        <f t="shared" si="11"/>
        <v>840</v>
      </c>
    </row>
    <row r="345" spans="13:22" x14ac:dyDescent="0.25">
      <c r="M345" s="2"/>
      <c r="P345" s="190">
        <v>308</v>
      </c>
      <c r="Q345" s="3"/>
      <c r="R345" s="18">
        <v>296</v>
      </c>
      <c r="V345" s="3">
        <f t="shared" si="11"/>
        <v>843</v>
      </c>
    </row>
    <row r="346" spans="13:22" x14ac:dyDescent="0.25">
      <c r="M346" s="2"/>
      <c r="P346" s="190">
        <v>309</v>
      </c>
      <c r="Q346" s="3"/>
      <c r="R346" s="18">
        <v>297</v>
      </c>
      <c r="V346" s="3">
        <f t="shared" si="11"/>
        <v>846</v>
      </c>
    </row>
    <row r="347" spans="13:22" x14ac:dyDescent="0.25">
      <c r="M347" s="2"/>
      <c r="P347" s="190">
        <v>310</v>
      </c>
      <c r="Q347" s="3"/>
      <c r="R347" s="18">
        <v>298</v>
      </c>
      <c r="V347" s="3">
        <f t="shared" si="11"/>
        <v>849</v>
      </c>
    </row>
    <row r="348" spans="13:22" x14ac:dyDescent="0.25">
      <c r="M348" s="2"/>
      <c r="P348" s="190">
        <v>311</v>
      </c>
      <c r="Q348" s="3"/>
      <c r="R348" s="18">
        <v>299</v>
      </c>
      <c r="V348" s="3">
        <f t="shared" si="11"/>
        <v>852</v>
      </c>
    </row>
    <row r="349" spans="13:22" x14ac:dyDescent="0.25">
      <c r="M349" s="2"/>
      <c r="P349" s="190">
        <v>312</v>
      </c>
      <c r="Q349" s="3"/>
      <c r="R349" s="18">
        <v>300</v>
      </c>
      <c r="V349" s="3">
        <f t="shared" si="11"/>
        <v>855</v>
      </c>
    </row>
    <row r="350" spans="13:22" x14ac:dyDescent="0.25">
      <c r="M350" s="2"/>
      <c r="P350" s="190">
        <v>313</v>
      </c>
      <c r="Q350" s="3"/>
      <c r="R350" s="18">
        <v>301</v>
      </c>
      <c r="V350" s="3">
        <f t="shared" si="11"/>
        <v>858</v>
      </c>
    </row>
    <row r="351" spans="13:22" x14ac:dyDescent="0.25">
      <c r="M351" s="2"/>
      <c r="P351" s="190">
        <v>314</v>
      </c>
      <c r="Q351" s="3"/>
      <c r="R351" s="18">
        <v>302</v>
      </c>
      <c r="V351" s="3">
        <f t="shared" si="11"/>
        <v>861</v>
      </c>
    </row>
    <row r="352" spans="13:22" x14ac:dyDescent="0.25">
      <c r="M352" s="2"/>
      <c r="P352" s="190">
        <v>315</v>
      </c>
      <c r="Q352" s="3"/>
      <c r="R352" s="18">
        <v>303</v>
      </c>
      <c r="V352" s="3">
        <f t="shared" si="11"/>
        <v>864</v>
      </c>
    </row>
    <row r="353" spans="13:22" x14ac:dyDescent="0.25">
      <c r="M353" s="2"/>
      <c r="P353" s="190">
        <v>316</v>
      </c>
      <c r="Q353" s="3"/>
      <c r="R353" s="18">
        <v>304</v>
      </c>
      <c r="V353" s="3">
        <f t="shared" si="11"/>
        <v>867</v>
      </c>
    </row>
    <row r="354" spans="13:22" x14ac:dyDescent="0.25">
      <c r="M354" s="2"/>
      <c r="P354" s="190">
        <v>317</v>
      </c>
      <c r="Q354" s="3"/>
      <c r="R354" s="18">
        <v>305</v>
      </c>
      <c r="V354" s="3">
        <f t="shared" si="11"/>
        <v>870</v>
      </c>
    </row>
    <row r="355" spans="13:22" x14ac:dyDescent="0.25">
      <c r="M355" s="2"/>
      <c r="P355" s="190">
        <v>318</v>
      </c>
      <c r="Q355" s="3"/>
      <c r="R355" s="18">
        <v>306</v>
      </c>
      <c r="V355" s="3">
        <f t="shared" si="11"/>
        <v>873</v>
      </c>
    </row>
    <row r="356" spans="13:22" x14ac:dyDescent="0.25">
      <c r="M356" s="2"/>
      <c r="P356" s="190">
        <v>319</v>
      </c>
      <c r="Q356" s="3"/>
      <c r="R356" s="18">
        <v>307</v>
      </c>
      <c r="V356" s="3">
        <f t="shared" si="11"/>
        <v>876</v>
      </c>
    </row>
    <row r="357" spans="13:22" x14ac:dyDescent="0.25">
      <c r="M357" s="2"/>
      <c r="P357" s="190">
        <v>320</v>
      </c>
      <c r="Q357" s="3"/>
      <c r="R357" s="18">
        <v>308</v>
      </c>
      <c r="V357" s="3">
        <f t="shared" si="11"/>
        <v>879</v>
      </c>
    </row>
    <row r="358" spans="13:22" x14ac:dyDescent="0.25">
      <c r="M358" s="2"/>
      <c r="P358" s="190">
        <v>321</v>
      </c>
      <c r="Q358" s="3"/>
      <c r="R358" s="18">
        <v>309</v>
      </c>
      <c r="V358" s="3">
        <f t="shared" si="11"/>
        <v>882</v>
      </c>
    </row>
    <row r="359" spans="13:22" x14ac:dyDescent="0.25">
      <c r="M359" s="2"/>
      <c r="P359" s="190">
        <v>322</v>
      </c>
      <c r="Q359" s="3"/>
      <c r="R359" s="18">
        <v>310</v>
      </c>
      <c r="V359" s="3">
        <f t="shared" si="11"/>
        <v>885</v>
      </c>
    </row>
    <row r="360" spans="13:22" x14ac:dyDescent="0.25">
      <c r="M360" s="2"/>
      <c r="P360" s="190">
        <v>323</v>
      </c>
      <c r="Q360" s="3"/>
      <c r="R360" s="18">
        <v>311</v>
      </c>
      <c r="V360" s="3">
        <f t="shared" si="11"/>
        <v>888</v>
      </c>
    </row>
    <row r="361" spans="13:22" x14ac:dyDescent="0.25">
      <c r="M361" s="2"/>
      <c r="P361" s="190">
        <v>324</v>
      </c>
      <c r="Q361" s="3"/>
      <c r="R361" s="18">
        <v>312</v>
      </c>
      <c r="V361" s="3">
        <f t="shared" si="11"/>
        <v>891</v>
      </c>
    </row>
    <row r="362" spans="13:22" x14ac:dyDescent="0.25">
      <c r="M362" s="2"/>
      <c r="P362" s="190">
        <v>325</v>
      </c>
      <c r="Q362" s="3"/>
      <c r="R362" s="18">
        <v>313</v>
      </c>
      <c r="V362" s="3">
        <f t="shared" si="11"/>
        <v>894</v>
      </c>
    </row>
    <row r="363" spans="13:22" x14ac:dyDescent="0.25">
      <c r="M363" s="2"/>
      <c r="P363" s="190">
        <v>326</v>
      </c>
      <c r="Q363" s="3"/>
      <c r="R363" s="18">
        <v>314</v>
      </c>
      <c r="V363" s="3">
        <f t="shared" si="11"/>
        <v>897</v>
      </c>
    </row>
    <row r="364" spans="13:22" x14ac:dyDescent="0.25">
      <c r="M364" s="2"/>
      <c r="P364" s="190">
        <v>327</v>
      </c>
      <c r="Q364" s="3"/>
      <c r="R364" s="18">
        <v>315</v>
      </c>
      <c r="V364" s="3">
        <f t="shared" si="11"/>
        <v>900</v>
      </c>
    </row>
    <row r="365" spans="13:22" x14ac:dyDescent="0.25">
      <c r="M365" s="2"/>
      <c r="P365" s="190">
        <v>328</v>
      </c>
      <c r="Q365" s="3"/>
      <c r="R365" s="18">
        <v>316</v>
      </c>
      <c r="V365" s="3">
        <f t="shared" si="11"/>
        <v>903</v>
      </c>
    </row>
    <row r="366" spans="13:22" x14ac:dyDescent="0.25">
      <c r="M366" s="2"/>
      <c r="P366" s="190">
        <v>329</v>
      </c>
      <c r="Q366" s="3"/>
      <c r="R366" s="18">
        <v>317</v>
      </c>
      <c r="V366" s="3">
        <f t="shared" si="11"/>
        <v>906</v>
      </c>
    </row>
    <row r="367" spans="13:22" x14ac:dyDescent="0.25">
      <c r="M367" s="2"/>
      <c r="P367" s="190">
        <v>330</v>
      </c>
      <c r="Q367" s="3"/>
      <c r="R367" s="18">
        <v>318</v>
      </c>
      <c r="V367" s="3">
        <f t="shared" si="11"/>
        <v>909</v>
      </c>
    </row>
    <row r="368" spans="13:22" x14ac:dyDescent="0.25">
      <c r="M368" s="2"/>
      <c r="P368" s="190">
        <v>331</v>
      </c>
      <c r="Q368" s="3"/>
      <c r="R368" s="18">
        <v>319</v>
      </c>
      <c r="V368" s="3">
        <f t="shared" si="11"/>
        <v>912</v>
      </c>
    </row>
    <row r="369" spans="13:22" x14ac:dyDescent="0.25">
      <c r="M369" s="2"/>
      <c r="P369" s="190">
        <v>332</v>
      </c>
      <c r="Q369" s="3"/>
      <c r="R369" s="18">
        <v>320</v>
      </c>
      <c r="V369" s="3">
        <f t="shared" si="11"/>
        <v>915</v>
      </c>
    </row>
    <row r="370" spans="13:22" x14ac:dyDescent="0.25">
      <c r="M370" s="2"/>
      <c r="P370" s="190">
        <v>333</v>
      </c>
      <c r="Q370" s="3"/>
      <c r="R370" s="18">
        <v>321</v>
      </c>
      <c r="V370" s="3">
        <f t="shared" si="11"/>
        <v>918</v>
      </c>
    </row>
    <row r="371" spans="13:22" x14ac:dyDescent="0.25">
      <c r="M371" s="2"/>
      <c r="P371" s="190">
        <v>334</v>
      </c>
      <c r="Q371" s="3"/>
      <c r="R371" s="18">
        <v>322</v>
      </c>
      <c r="V371" s="3">
        <f t="shared" si="11"/>
        <v>921</v>
      </c>
    </row>
    <row r="372" spans="13:22" x14ac:dyDescent="0.25">
      <c r="M372" s="2"/>
      <c r="P372" s="190">
        <v>335</v>
      </c>
      <c r="Q372" s="3"/>
      <c r="R372" s="18">
        <v>323</v>
      </c>
      <c r="V372" s="3">
        <f t="shared" si="11"/>
        <v>924</v>
      </c>
    </row>
    <row r="373" spans="13:22" x14ac:dyDescent="0.25">
      <c r="M373" s="2"/>
      <c r="P373" s="190">
        <v>336</v>
      </c>
      <c r="Q373" s="3"/>
      <c r="R373" s="18">
        <v>324</v>
      </c>
      <c r="V373" s="3">
        <f t="shared" si="11"/>
        <v>927</v>
      </c>
    </row>
    <row r="374" spans="13:22" x14ac:dyDescent="0.25">
      <c r="M374" s="2"/>
      <c r="P374" s="190">
        <v>337</v>
      </c>
      <c r="Q374" s="3"/>
      <c r="R374" s="18">
        <v>325</v>
      </c>
      <c r="V374" s="3">
        <f t="shared" si="11"/>
        <v>930</v>
      </c>
    </row>
    <row r="375" spans="13:22" x14ac:dyDescent="0.25">
      <c r="M375" s="2"/>
      <c r="P375" s="190">
        <v>338</v>
      </c>
      <c r="Q375" s="3"/>
      <c r="R375" s="18">
        <v>326</v>
      </c>
      <c r="V375" s="3">
        <f t="shared" si="11"/>
        <v>933</v>
      </c>
    </row>
    <row r="376" spans="13:22" x14ac:dyDescent="0.25">
      <c r="M376" s="2"/>
      <c r="P376" s="190">
        <v>339</v>
      </c>
      <c r="Q376" s="3"/>
      <c r="R376" s="18">
        <v>327</v>
      </c>
      <c r="V376" s="3">
        <f t="shared" si="11"/>
        <v>936</v>
      </c>
    </row>
    <row r="377" spans="13:22" x14ac:dyDescent="0.25">
      <c r="M377" s="2"/>
      <c r="P377" s="190">
        <v>340</v>
      </c>
      <c r="Q377" s="3"/>
      <c r="R377" s="18">
        <v>328</v>
      </c>
      <c r="V377" s="3">
        <f t="shared" si="11"/>
        <v>939</v>
      </c>
    </row>
    <row r="378" spans="13:22" x14ac:dyDescent="0.25">
      <c r="M378" s="2"/>
      <c r="P378" s="190">
        <v>341</v>
      </c>
      <c r="Q378" s="3"/>
      <c r="R378" s="18">
        <v>329</v>
      </c>
      <c r="V378" s="3">
        <f t="shared" si="11"/>
        <v>942</v>
      </c>
    </row>
    <row r="379" spans="13:22" x14ac:dyDescent="0.25">
      <c r="M379" s="2"/>
      <c r="P379" s="190">
        <v>342</v>
      </c>
      <c r="Q379" s="3"/>
      <c r="R379" s="18">
        <v>330</v>
      </c>
      <c r="V379" s="3">
        <f t="shared" si="11"/>
        <v>945</v>
      </c>
    </row>
    <row r="380" spans="13:22" x14ac:dyDescent="0.25">
      <c r="M380" s="2"/>
      <c r="P380" s="190">
        <v>343</v>
      </c>
      <c r="Q380" s="3"/>
      <c r="R380" s="18">
        <v>331</v>
      </c>
      <c r="V380" s="3">
        <f t="shared" si="11"/>
        <v>948</v>
      </c>
    </row>
    <row r="381" spans="13:22" x14ac:dyDescent="0.25">
      <c r="M381" s="2"/>
      <c r="P381" s="190">
        <v>344</v>
      </c>
      <c r="Q381" s="3"/>
      <c r="R381" s="18">
        <v>332</v>
      </c>
      <c r="V381" s="3">
        <f t="shared" si="11"/>
        <v>951</v>
      </c>
    </row>
    <row r="382" spans="13:22" x14ac:dyDescent="0.25">
      <c r="M382" s="2"/>
      <c r="P382" s="190">
        <v>345</v>
      </c>
      <c r="Q382" s="3"/>
      <c r="R382" s="18">
        <v>333</v>
      </c>
      <c r="V382" s="3">
        <f t="shared" si="11"/>
        <v>954</v>
      </c>
    </row>
    <row r="383" spans="13:22" x14ac:dyDescent="0.25">
      <c r="M383" s="2"/>
      <c r="P383" s="190">
        <v>346</v>
      </c>
      <c r="Q383" s="3"/>
      <c r="R383" s="18">
        <v>334</v>
      </c>
      <c r="V383" s="3">
        <f t="shared" si="11"/>
        <v>957</v>
      </c>
    </row>
    <row r="384" spans="13:22" x14ac:dyDescent="0.25">
      <c r="M384" s="2"/>
      <c r="P384" s="190">
        <v>347</v>
      </c>
      <c r="Q384" s="3"/>
      <c r="R384" s="18">
        <v>335</v>
      </c>
      <c r="V384" s="3">
        <f t="shared" si="11"/>
        <v>960</v>
      </c>
    </row>
    <row r="385" spans="13:22" x14ac:dyDescent="0.25">
      <c r="M385" s="2"/>
      <c r="P385" s="190">
        <v>348</v>
      </c>
      <c r="Q385" s="3"/>
      <c r="R385" s="18">
        <v>336</v>
      </c>
      <c r="V385" s="3">
        <f t="shared" si="11"/>
        <v>963</v>
      </c>
    </row>
    <row r="386" spans="13:22" x14ac:dyDescent="0.25">
      <c r="M386" s="2"/>
      <c r="P386" s="190">
        <v>349</v>
      </c>
      <c r="Q386" s="3"/>
      <c r="R386" s="18">
        <v>337</v>
      </c>
      <c r="V386" s="3">
        <f t="shared" ref="V386:V399" si="12">V385+3</f>
        <v>966</v>
      </c>
    </row>
    <row r="387" spans="13:22" x14ac:dyDescent="0.25">
      <c r="M387" s="2"/>
      <c r="P387" s="190">
        <v>350</v>
      </c>
      <c r="Q387" s="3"/>
      <c r="R387" s="18">
        <v>338</v>
      </c>
      <c r="V387" s="3">
        <f t="shared" si="12"/>
        <v>969</v>
      </c>
    </row>
    <row r="388" spans="13:22" x14ac:dyDescent="0.25">
      <c r="M388" s="2"/>
      <c r="Q388" s="3"/>
      <c r="R388" s="18">
        <v>339</v>
      </c>
      <c r="V388" s="3">
        <f t="shared" si="12"/>
        <v>972</v>
      </c>
    </row>
    <row r="389" spans="13:22" x14ac:dyDescent="0.25">
      <c r="M389" s="2"/>
      <c r="Q389" s="3"/>
      <c r="R389" s="18">
        <v>340</v>
      </c>
      <c r="V389" s="3">
        <f t="shared" si="12"/>
        <v>975</v>
      </c>
    </row>
    <row r="390" spans="13:22" x14ac:dyDescent="0.25">
      <c r="M390" s="2"/>
      <c r="Q390" s="3"/>
      <c r="R390" s="18">
        <v>341</v>
      </c>
      <c r="V390" s="3">
        <f t="shared" si="12"/>
        <v>978</v>
      </c>
    </row>
    <row r="391" spans="13:22" x14ac:dyDescent="0.25">
      <c r="M391" s="2"/>
      <c r="Q391" s="3"/>
      <c r="R391" s="18">
        <v>342</v>
      </c>
      <c r="V391" s="3">
        <f t="shared" si="12"/>
        <v>981</v>
      </c>
    </row>
    <row r="392" spans="13:22" x14ac:dyDescent="0.25">
      <c r="M392" s="2"/>
      <c r="Q392" s="3"/>
      <c r="R392" s="18">
        <v>343</v>
      </c>
      <c r="V392" s="3">
        <f t="shared" si="12"/>
        <v>984</v>
      </c>
    </row>
    <row r="393" spans="13:22" x14ac:dyDescent="0.25">
      <c r="M393" s="2"/>
      <c r="Q393" s="3"/>
      <c r="R393" s="18">
        <v>344</v>
      </c>
      <c r="V393" s="3">
        <f t="shared" si="12"/>
        <v>987</v>
      </c>
    </row>
    <row r="394" spans="13:22" x14ac:dyDescent="0.25">
      <c r="M394" s="2"/>
      <c r="Q394" s="3"/>
      <c r="R394" s="18">
        <v>345</v>
      </c>
      <c r="V394" s="3">
        <f t="shared" si="12"/>
        <v>990</v>
      </c>
    </row>
    <row r="395" spans="13:22" x14ac:dyDescent="0.25">
      <c r="M395" s="2"/>
      <c r="Q395" s="3"/>
      <c r="R395" s="18">
        <v>346</v>
      </c>
      <c r="V395" s="3">
        <f t="shared" si="12"/>
        <v>993</v>
      </c>
    </row>
    <row r="396" spans="13:22" x14ac:dyDescent="0.25">
      <c r="M396" s="2"/>
      <c r="Q396" s="3"/>
      <c r="R396" s="18">
        <v>347</v>
      </c>
      <c r="V396" s="3">
        <f t="shared" si="12"/>
        <v>996</v>
      </c>
    </row>
    <row r="397" spans="13:22" x14ac:dyDescent="0.25">
      <c r="M397" s="2"/>
      <c r="Q397" s="3"/>
      <c r="R397" s="18">
        <v>348</v>
      </c>
      <c r="V397" s="3">
        <f t="shared" si="12"/>
        <v>999</v>
      </c>
    </row>
    <row r="398" spans="13:22" x14ac:dyDescent="0.25">
      <c r="M398" s="2"/>
      <c r="Q398" s="3"/>
      <c r="R398" s="18">
        <v>349</v>
      </c>
      <c r="V398" s="3">
        <f t="shared" si="12"/>
        <v>1002</v>
      </c>
    </row>
    <row r="399" spans="13:22" x14ac:dyDescent="0.25">
      <c r="M399" s="5"/>
      <c r="N399" s="14"/>
      <c r="O399" s="14"/>
      <c r="P399" s="14"/>
      <c r="Q399" s="15"/>
      <c r="R399" s="217">
        <v>350</v>
      </c>
      <c r="S399" s="14"/>
      <c r="T399" s="14"/>
      <c r="U399" s="14"/>
      <c r="V399" s="15">
        <f t="shared" si="12"/>
        <v>1005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34"/>
  <sheetViews>
    <sheetView topLeftCell="A4" workbookViewId="0"/>
  </sheetViews>
  <sheetFormatPr baseColWidth="10" defaultRowHeight="15" x14ac:dyDescent="0.25"/>
  <cols>
    <col min="1" max="1" width="10.7109375" bestFit="1" customWidth="1"/>
    <col min="2" max="2" width="17.28515625" bestFit="1" customWidth="1"/>
    <col min="3" max="3" width="5.140625" bestFit="1" customWidth="1"/>
    <col min="4" max="4" width="4.5703125" bestFit="1" customWidth="1"/>
    <col min="5" max="5" width="4.5703125" customWidth="1"/>
    <col min="6" max="6" width="6.7109375" bestFit="1" customWidth="1"/>
    <col min="7" max="7" width="14.85546875" customWidth="1"/>
    <col min="8" max="10" width="4.5703125" bestFit="1" customWidth="1"/>
  </cols>
  <sheetData>
    <row r="1" spans="1:10" x14ac:dyDescent="0.25">
      <c r="A1" s="44" t="s">
        <v>29</v>
      </c>
      <c r="B1" s="44"/>
    </row>
    <row r="2" spans="1:10" x14ac:dyDescent="0.25">
      <c r="A2" s="47" t="s">
        <v>187</v>
      </c>
      <c r="B2" s="47"/>
      <c r="C2" s="45"/>
      <c r="D2" s="45"/>
      <c r="E2" s="45"/>
      <c r="F2" s="48" t="s">
        <v>189</v>
      </c>
      <c r="G2" s="48"/>
      <c r="H2" s="46"/>
      <c r="I2" s="46"/>
      <c r="J2" s="46"/>
    </row>
    <row r="3" spans="1:10" x14ac:dyDescent="0.25">
      <c r="A3" s="49" t="s">
        <v>188</v>
      </c>
      <c r="B3" s="49"/>
      <c r="C3" s="50">
        <v>0.75</v>
      </c>
      <c r="D3" s="50">
        <v>0.5</v>
      </c>
      <c r="E3" s="50">
        <v>0.25</v>
      </c>
      <c r="F3" s="53" t="s">
        <v>188</v>
      </c>
      <c r="G3" s="53"/>
      <c r="H3" s="54">
        <v>0.75</v>
      </c>
      <c r="I3" s="54">
        <v>0.5</v>
      </c>
      <c r="J3" s="54">
        <v>0.25</v>
      </c>
    </row>
    <row r="4" spans="1:10" x14ac:dyDescent="0.25">
      <c r="A4" s="49">
        <v>2</v>
      </c>
      <c r="B4" s="49" t="s">
        <v>284</v>
      </c>
      <c r="C4" s="49">
        <v>1.5</v>
      </c>
      <c r="D4" s="49">
        <v>1</v>
      </c>
      <c r="E4" s="49">
        <v>0.5</v>
      </c>
      <c r="F4" s="53">
        <v>5</v>
      </c>
      <c r="G4" s="53" t="s">
        <v>255</v>
      </c>
      <c r="H4" s="53">
        <v>4</v>
      </c>
      <c r="I4" s="53">
        <v>3</v>
      </c>
      <c r="J4" s="53">
        <v>1</v>
      </c>
    </row>
    <row r="5" spans="1:10" x14ac:dyDescent="0.25">
      <c r="A5" s="49">
        <v>3</v>
      </c>
      <c r="B5" s="49" t="s">
        <v>285</v>
      </c>
      <c r="C5" s="49">
        <v>2.5</v>
      </c>
      <c r="D5" s="49">
        <v>1.5</v>
      </c>
      <c r="E5" s="49">
        <v>1</v>
      </c>
      <c r="F5" s="53">
        <v>8</v>
      </c>
      <c r="G5" s="53" t="s">
        <v>253</v>
      </c>
      <c r="H5" s="53">
        <v>6</v>
      </c>
      <c r="I5" s="53">
        <v>4</v>
      </c>
      <c r="J5" s="53">
        <v>2</v>
      </c>
    </row>
    <row r="6" spans="1:10" x14ac:dyDescent="0.25">
      <c r="A6" s="49">
        <v>4</v>
      </c>
      <c r="B6" s="49" t="s">
        <v>286</v>
      </c>
      <c r="C6" s="49">
        <v>3</v>
      </c>
      <c r="D6" s="49">
        <v>2</v>
      </c>
      <c r="E6" s="49">
        <v>1</v>
      </c>
      <c r="F6" s="53">
        <v>10</v>
      </c>
      <c r="G6" s="53" t="s">
        <v>256</v>
      </c>
      <c r="H6" s="53">
        <v>8</v>
      </c>
      <c r="I6" s="53">
        <v>5</v>
      </c>
      <c r="J6" s="53">
        <v>3</v>
      </c>
    </row>
    <row r="7" spans="1:10" x14ac:dyDescent="0.25">
      <c r="A7" s="49">
        <v>5</v>
      </c>
      <c r="B7" s="49" t="s">
        <v>287</v>
      </c>
      <c r="C7" s="49">
        <v>4</v>
      </c>
      <c r="D7" s="49">
        <v>2.5</v>
      </c>
      <c r="E7" s="49">
        <v>1.5</v>
      </c>
      <c r="F7" s="53">
        <v>13</v>
      </c>
      <c r="G7" s="53" t="s">
        <v>257</v>
      </c>
      <c r="H7" s="53">
        <v>10</v>
      </c>
      <c r="I7" s="53">
        <v>7</v>
      </c>
      <c r="J7" s="53">
        <v>4</v>
      </c>
    </row>
    <row r="8" spans="1:10" x14ac:dyDescent="0.25">
      <c r="A8" s="49">
        <v>6</v>
      </c>
      <c r="B8" s="49" t="s">
        <v>288</v>
      </c>
      <c r="C8" s="49">
        <v>4.5</v>
      </c>
      <c r="D8" s="49">
        <v>3</v>
      </c>
      <c r="E8" s="49">
        <v>1.5</v>
      </c>
      <c r="F8" s="53">
        <v>15</v>
      </c>
      <c r="G8" s="53" t="s">
        <v>258</v>
      </c>
      <c r="H8" s="53">
        <v>12</v>
      </c>
      <c r="I8" s="53">
        <v>8</v>
      </c>
      <c r="J8" s="53">
        <v>4</v>
      </c>
    </row>
    <row r="9" spans="1:10" x14ac:dyDescent="0.25">
      <c r="A9" s="49">
        <v>7</v>
      </c>
      <c r="B9" s="49" t="s">
        <v>289</v>
      </c>
      <c r="C9" s="49">
        <v>5.5</v>
      </c>
      <c r="D9" s="49">
        <v>3.5</v>
      </c>
      <c r="E9" s="49">
        <v>2</v>
      </c>
      <c r="F9" s="53">
        <v>18</v>
      </c>
      <c r="G9" s="53" t="s">
        <v>259</v>
      </c>
      <c r="H9" s="53">
        <v>14</v>
      </c>
      <c r="I9" s="53">
        <v>9</v>
      </c>
      <c r="J9" s="53">
        <v>5</v>
      </c>
    </row>
    <row r="10" spans="1:10" x14ac:dyDescent="0.25">
      <c r="A10" s="49">
        <v>8</v>
      </c>
      <c r="B10" s="49" t="s">
        <v>290</v>
      </c>
      <c r="C10" s="49">
        <v>6</v>
      </c>
      <c r="D10" s="49">
        <v>4</v>
      </c>
      <c r="E10" s="49">
        <v>2</v>
      </c>
      <c r="F10" s="53">
        <v>20</v>
      </c>
      <c r="G10" s="53" t="s">
        <v>260</v>
      </c>
      <c r="H10" s="53">
        <v>15</v>
      </c>
      <c r="I10" s="53">
        <v>10</v>
      </c>
      <c r="J10" s="53">
        <v>5</v>
      </c>
    </row>
    <row r="11" spans="1:10" x14ac:dyDescent="0.25">
      <c r="A11" s="49">
        <v>9</v>
      </c>
      <c r="B11" s="49" t="s">
        <v>291</v>
      </c>
      <c r="C11" s="49">
        <v>7</v>
      </c>
      <c r="D11" s="49">
        <v>4.5</v>
      </c>
      <c r="E11" s="49">
        <v>2.5</v>
      </c>
      <c r="F11" s="53">
        <v>23</v>
      </c>
      <c r="G11" s="53" t="s">
        <v>261</v>
      </c>
      <c r="H11" s="53">
        <v>18</v>
      </c>
      <c r="I11" s="53">
        <v>12</v>
      </c>
      <c r="J11" s="53">
        <v>6</v>
      </c>
    </row>
    <row r="12" spans="1:10" x14ac:dyDescent="0.25">
      <c r="A12" s="49">
        <v>10</v>
      </c>
      <c r="B12" s="49" t="s">
        <v>292</v>
      </c>
      <c r="C12" s="49">
        <v>7.5</v>
      </c>
      <c r="D12" s="49">
        <v>5</v>
      </c>
      <c r="E12" s="49">
        <v>2.5</v>
      </c>
      <c r="F12" s="53">
        <v>25</v>
      </c>
      <c r="G12" s="53" t="s">
        <v>262</v>
      </c>
      <c r="H12" s="53">
        <v>19</v>
      </c>
      <c r="I12" s="53">
        <v>13</v>
      </c>
      <c r="J12" s="53">
        <v>7</v>
      </c>
    </row>
    <row r="13" spans="1:10" x14ac:dyDescent="0.25">
      <c r="A13" s="49">
        <v>11</v>
      </c>
      <c r="B13" s="49" t="s">
        <v>293</v>
      </c>
      <c r="C13" s="49">
        <v>8.5</v>
      </c>
      <c r="D13" s="49">
        <v>5.5</v>
      </c>
      <c r="E13" s="49">
        <v>3</v>
      </c>
      <c r="F13" s="53">
        <v>28</v>
      </c>
      <c r="G13" s="53" t="s">
        <v>254</v>
      </c>
      <c r="H13" s="53">
        <v>21</v>
      </c>
      <c r="I13" s="53">
        <v>14</v>
      </c>
      <c r="J13" s="53">
        <v>7</v>
      </c>
    </row>
    <row r="14" spans="1:10" x14ac:dyDescent="0.25">
      <c r="A14" s="49">
        <v>12</v>
      </c>
      <c r="B14" s="49" t="s">
        <v>294</v>
      </c>
      <c r="C14" s="49">
        <v>9</v>
      </c>
      <c r="D14" s="49">
        <v>6</v>
      </c>
      <c r="E14" s="49">
        <v>3</v>
      </c>
      <c r="F14" s="53">
        <v>30</v>
      </c>
      <c r="G14" s="53" t="s">
        <v>263</v>
      </c>
      <c r="H14" s="53">
        <v>23</v>
      </c>
      <c r="I14" s="53">
        <v>15</v>
      </c>
      <c r="J14" s="53">
        <v>8</v>
      </c>
    </row>
    <row r="15" spans="1:10" x14ac:dyDescent="0.25">
      <c r="A15" s="49">
        <v>13</v>
      </c>
      <c r="B15" s="49" t="s">
        <v>295</v>
      </c>
      <c r="C15" s="49">
        <v>10</v>
      </c>
      <c r="D15" s="49">
        <v>6.5</v>
      </c>
      <c r="E15" s="49">
        <v>3.5</v>
      </c>
      <c r="F15" s="53">
        <v>33</v>
      </c>
      <c r="G15" s="53" t="s">
        <v>264</v>
      </c>
      <c r="H15" s="53">
        <v>25</v>
      </c>
      <c r="I15" s="53">
        <v>17</v>
      </c>
      <c r="J15" s="53">
        <v>9</v>
      </c>
    </row>
    <row r="16" spans="1:10" x14ac:dyDescent="0.25">
      <c r="A16" s="49">
        <v>14</v>
      </c>
      <c r="B16" s="49" t="s">
        <v>296</v>
      </c>
      <c r="C16" s="49">
        <v>10.5</v>
      </c>
      <c r="D16" s="49">
        <v>7</v>
      </c>
      <c r="E16" s="49">
        <v>3.5</v>
      </c>
      <c r="F16" s="53">
        <v>36</v>
      </c>
      <c r="G16" s="53" t="s">
        <v>265</v>
      </c>
      <c r="H16" s="53">
        <v>27</v>
      </c>
      <c r="I16" s="53">
        <v>18</v>
      </c>
      <c r="J16" s="53">
        <v>9</v>
      </c>
    </row>
    <row r="17" spans="1:10" x14ac:dyDescent="0.25">
      <c r="A17" s="49">
        <v>15</v>
      </c>
      <c r="B17" s="49" t="s">
        <v>297</v>
      </c>
      <c r="C17" s="49">
        <v>11.5</v>
      </c>
      <c r="D17" s="49">
        <v>7.5</v>
      </c>
      <c r="E17" s="49">
        <v>4</v>
      </c>
      <c r="F17" s="53">
        <v>38</v>
      </c>
      <c r="G17" s="53" t="s">
        <v>266</v>
      </c>
      <c r="H17" s="53">
        <v>29</v>
      </c>
      <c r="I17" s="53">
        <v>19</v>
      </c>
      <c r="J17" s="53">
        <v>10</v>
      </c>
    </row>
    <row r="18" spans="1:10" x14ac:dyDescent="0.25">
      <c r="A18" s="49">
        <v>16</v>
      </c>
      <c r="B18" s="49" t="s">
        <v>298</v>
      </c>
      <c r="C18" s="49">
        <v>12</v>
      </c>
      <c r="D18" s="49">
        <v>8</v>
      </c>
      <c r="E18" s="49">
        <v>4</v>
      </c>
      <c r="F18" s="53">
        <v>41</v>
      </c>
      <c r="G18" s="53" t="s">
        <v>267</v>
      </c>
      <c r="H18" s="53">
        <v>31</v>
      </c>
      <c r="I18" s="53">
        <v>21</v>
      </c>
      <c r="J18" s="53">
        <v>11</v>
      </c>
    </row>
    <row r="19" spans="1:10" x14ac:dyDescent="0.25">
      <c r="A19" s="49">
        <v>17</v>
      </c>
      <c r="B19" s="49" t="s">
        <v>299</v>
      </c>
      <c r="C19" s="49">
        <v>13</v>
      </c>
      <c r="D19" s="49">
        <v>8.5</v>
      </c>
      <c r="E19" s="49">
        <v>4.5</v>
      </c>
      <c r="F19" s="53">
        <v>43</v>
      </c>
      <c r="G19" s="53" t="s">
        <v>268</v>
      </c>
      <c r="H19" s="53">
        <v>32</v>
      </c>
      <c r="I19" s="53">
        <v>21.5</v>
      </c>
      <c r="J19" s="53">
        <v>11</v>
      </c>
    </row>
    <row r="20" spans="1:10" x14ac:dyDescent="0.25">
      <c r="A20" s="49">
        <v>18</v>
      </c>
      <c r="B20" s="49" t="s">
        <v>300</v>
      </c>
      <c r="C20" s="49">
        <v>13.5</v>
      </c>
      <c r="D20" s="49">
        <v>9</v>
      </c>
      <c r="E20" s="49">
        <v>4.5</v>
      </c>
      <c r="F20" s="53">
        <v>46</v>
      </c>
      <c r="G20" s="53" t="s">
        <v>269</v>
      </c>
      <c r="H20" s="53">
        <v>35</v>
      </c>
      <c r="I20" s="53">
        <v>23</v>
      </c>
      <c r="J20" s="53">
        <v>12</v>
      </c>
    </row>
    <row r="21" spans="1:10" x14ac:dyDescent="0.25">
      <c r="A21" s="49">
        <v>19</v>
      </c>
      <c r="B21" s="49" t="s">
        <v>301</v>
      </c>
      <c r="C21" s="49">
        <v>14</v>
      </c>
      <c r="D21" s="49">
        <v>9.5</v>
      </c>
      <c r="E21" s="49">
        <v>5</v>
      </c>
      <c r="F21" s="53">
        <v>48</v>
      </c>
      <c r="G21" s="53" t="s">
        <v>270</v>
      </c>
      <c r="H21" s="53">
        <v>36</v>
      </c>
      <c r="I21" s="53">
        <v>24</v>
      </c>
      <c r="J21" s="53">
        <v>12</v>
      </c>
    </row>
    <row r="22" spans="1:10" x14ac:dyDescent="0.25">
      <c r="A22" s="49">
        <v>20</v>
      </c>
      <c r="B22" s="49" t="s">
        <v>302</v>
      </c>
      <c r="C22" s="49">
        <v>15</v>
      </c>
      <c r="D22" s="49">
        <v>10</v>
      </c>
      <c r="E22" s="49">
        <v>5</v>
      </c>
      <c r="F22" s="53">
        <v>51</v>
      </c>
      <c r="G22" s="53" t="s">
        <v>271</v>
      </c>
      <c r="H22" s="53">
        <v>38</v>
      </c>
      <c r="I22" s="53">
        <v>26</v>
      </c>
      <c r="J22" s="53">
        <v>13</v>
      </c>
    </row>
    <row r="23" spans="1:10" x14ac:dyDescent="0.25">
      <c r="A23" s="49">
        <v>21</v>
      </c>
      <c r="B23" s="49" t="s">
        <v>303</v>
      </c>
      <c r="C23" s="49">
        <v>16</v>
      </c>
      <c r="D23" s="51">
        <v>10.5</v>
      </c>
      <c r="E23" s="51">
        <v>5.5</v>
      </c>
      <c r="F23" s="53">
        <v>54</v>
      </c>
      <c r="G23" s="53" t="s">
        <v>272</v>
      </c>
      <c r="H23" s="53">
        <v>41</v>
      </c>
      <c r="I23" s="53">
        <v>27</v>
      </c>
      <c r="J23" s="53">
        <v>14</v>
      </c>
    </row>
    <row r="24" spans="1:10" x14ac:dyDescent="0.25">
      <c r="A24" s="49">
        <v>22</v>
      </c>
      <c r="B24" s="49" t="s">
        <v>304</v>
      </c>
      <c r="C24" s="49">
        <v>16.5</v>
      </c>
      <c r="D24" s="52">
        <v>11</v>
      </c>
      <c r="E24" s="51">
        <v>5.5</v>
      </c>
      <c r="F24" s="53">
        <v>56</v>
      </c>
      <c r="G24" s="53" t="s">
        <v>273</v>
      </c>
      <c r="H24" s="53">
        <v>42</v>
      </c>
      <c r="I24" s="53">
        <v>28</v>
      </c>
      <c r="J24" s="53">
        <v>14</v>
      </c>
    </row>
    <row r="25" spans="1:10" x14ac:dyDescent="0.25">
      <c r="A25" s="49">
        <v>23</v>
      </c>
      <c r="B25" s="49" t="s">
        <v>305</v>
      </c>
      <c r="C25" s="49">
        <v>17.5</v>
      </c>
      <c r="D25" s="51">
        <v>11.5</v>
      </c>
      <c r="E25" s="52">
        <v>6</v>
      </c>
      <c r="F25" s="53">
        <v>59</v>
      </c>
      <c r="G25" s="53" t="s">
        <v>274</v>
      </c>
      <c r="H25" s="53">
        <v>44</v>
      </c>
      <c r="I25" s="53">
        <v>30</v>
      </c>
      <c r="J25" s="53">
        <v>15</v>
      </c>
    </row>
    <row r="26" spans="1:10" x14ac:dyDescent="0.25">
      <c r="A26" s="49">
        <v>24</v>
      </c>
      <c r="B26" s="49" t="s">
        <v>306</v>
      </c>
      <c r="C26" s="49">
        <v>18</v>
      </c>
      <c r="D26" s="49">
        <v>12</v>
      </c>
      <c r="E26" s="49">
        <v>6</v>
      </c>
      <c r="F26" s="53">
        <v>61</v>
      </c>
      <c r="G26" s="53" t="s">
        <v>275</v>
      </c>
      <c r="H26" s="53">
        <v>46</v>
      </c>
      <c r="I26" s="53">
        <v>31</v>
      </c>
      <c r="J26" s="53">
        <v>16</v>
      </c>
    </row>
    <row r="27" spans="1:10" x14ac:dyDescent="0.25">
      <c r="A27" s="49">
        <v>25</v>
      </c>
      <c r="B27" s="49" t="s">
        <v>307</v>
      </c>
      <c r="C27" s="49">
        <v>19</v>
      </c>
      <c r="D27" s="51">
        <v>12.5</v>
      </c>
      <c r="E27" s="51">
        <v>6.5</v>
      </c>
      <c r="F27" s="53">
        <v>64</v>
      </c>
      <c r="G27" s="53" t="s">
        <v>276</v>
      </c>
      <c r="H27" s="53">
        <v>48</v>
      </c>
      <c r="I27" s="53">
        <v>32</v>
      </c>
      <c r="J27" s="53">
        <v>16</v>
      </c>
    </row>
    <row r="28" spans="1:10" x14ac:dyDescent="0.25">
      <c r="A28" s="49">
        <v>26</v>
      </c>
      <c r="B28" s="49" t="s">
        <v>308</v>
      </c>
      <c r="C28" s="49">
        <v>19.5</v>
      </c>
      <c r="D28" s="52">
        <v>13</v>
      </c>
      <c r="E28" s="51">
        <v>6.5</v>
      </c>
      <c r="F28" s="53">
        <v>66</v>
      </c>
      <c r="G28" s="53" t="s">
        <v>277</v>
      </c>
      <c r="H28" s="53">
        <v>50</v>
      </c>
      <c r="I28" s="53">
        <v>33</v>
      </c>
      <c r="J28" s="53">
        <v>17</v>
      </c>
    </row>
    <row r="29" spans="1:10" x14ac:dyDescent="0.25">
      <c r="A29" s="49">
        <v>27</v>
      </c>
      <c r="B29" s="49" t="s">
        <v>309</v>
      </c>
      <c r="C29" s="49">
        <v>20.5</v>
      </c>
      <c r="D29" s="51">
        <v>13.5</v>
      </c>
      <c r="E29" s="52">
        <v>7</v>
      </c>
      <c r="F29" s="53">
        <v>69</v>
      </c>
      <c r="G29" s="53" t="s">
        <v>278</v>
      </c>
      <c r="H29" s="53">
        <v>52</v>
      </c>
      <c r="I29" s="53">
        <v>35</v>
      </c>
      <c r="J29" s="53">
        <v>17</v>
      </c>
    </row>
    <row r="30" spans="1:10" x14ac:dyDescent="0.25">
      <c r="A30" s="49">
        <v>28</v>
      </c>
      <c r="B30" s="49" t="s">
        <v>310</v>
      </c>
      <c r="C30" s="49">
        <v>21</v>
      </c>
      <c r="D30" s="49">
        <v>14</v>
      </c>
      <c r="E30" s="49">
        <v>7</v>
      </c>
      <c r="F30" s="53">
        <v>71</v>
      </c>
      <c r="G30" s="53" t="s">
        <v>279</v>
      </c>
      <c r="H30" s="53">
        <v>53</v>
      </c>
      <c r="I30" s="53">
        <v>36</v>
      </c>
      <c r="J30" s="53">
        <v>18</v>
      </c>
    </row>
    <row r="31" spans="1:10" x14ac:dyDescent="0.25">
      <c r="A31" s="49">
        <v>29</v>
      </c>
      <c r="B31" s="49" t="s">
        <v>311</v>
      </c>
      <c r="C31" s="49">
        <v>22</v>
      </c>
      <c r="D31" s="51">
        <v>14.5</v>
      </c>
      <c r="E31" s="49">
        <v>7.5</v>
      </c>
      <c r="F31" s="53">
        <v>74</v>
      </c>
      <c r="G31" s="53" t="s">
        <v>280</v>
      </c>
      <c r="H31" s="53">
        <v>56</v>
      </c>
      <c r="I31" s="53">
        <v>38</v>
      </c>
      <c r="J31" s="53">
        <v>19</v>
      </c>
    </row>
    <row r="32" spans="1:10" x14ac:dyDescent="0.25">
      <c r="A32" s="49">
        <v>30</v>
      </c>
      <c r="B32" s="49" t="s">
        <v>312</v>
      </c>
      <c r="C32" s="49">
        <v>22.5</v>
      </c>
      <c r="D32" s="52">
        <v>15</v>
      </c>
      <c r="E32" s="49">
        <v>7.5</v>
      </c>
      <c r="F32" s="53">
        <v>76</v>
      </c>
      <c r="G32" s="53" t="s">
        <v>281</v>
      </c>
      <c r="H32" s="53">
        <v>57</v>
      </c>
      <c r="I32" s="53">
        <v>38</v>
      </c>
      <c r="J32" s="53">
        <v>19</v>
      </c>
    </row>
    <row r="33" spans="1:10" x14ac:dyDescent="0.25">
      <c r="A33" s="49">
        <v>31</v>
      </c>
      <c r="B33" s="49" t="s">
        <v>313</v>
      </c>
      <c r="C33" s="49">
        <v>23.5</v>
      </c>
      <c r="D33" s="51">
        <v>15.5</v>
      </c>
      <c r="E33" s="49">
        <v>8</v>
      </c>
      <c r="F33" s="53">
        <v>79</v>
      </c>
      <c r="G33" s="53" t="s">
        <v>282</v>
      </c>
      <c r="H33" s="53">
        <v>59</v>
      </c>
      <c r="I33" s="53">
        <v>40</v>
      </c>
      <c r="J33" s="53">
        <v>20</v>
      </c>
    </row>
    <row r="34" spans="1:10" x14ac:dyDescent="0.25">
      <c r="A34" s="49">
        <v>32</v>
      </c>
      <c r="B34" s="49" t="s">
        <v>314</v>
      </c>
      <c r="C34" s="49">
        <v>24</v>
      </c>
      <c r="D34" s="49">
        <v>16</v>
      </c>
      <c r="E34" s="49">
        <v>8</v>
      </c>
      <c r="F34" s="53">
        <v>81</v>
      </c>
      <c r="G34" s="53" t="s">
        <v>283</v>
      </c>
      <c r="H34" s="53">
        <v>61</v>
      </c>
      <c r="I34" s="53">
        <v>41</v>
      </c>
      <c r="J34" s="53">
        <v>21</v>
      </c>
    </row>
  </sheetData>
  <sheetProtection password="FDBB" sheet="1" objects="1" scenarios="1" selectLockedCells="1"/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18" operator="equal" id="{973F5FBA-798E-44DC-B985-4B48B11170E5}">
            <xm:f>'Combatant Calculator'!$K$15</xm:f>
            <x14:dxf>
              <font>
                <color theme="0"/>
              </font>
              <fill>
                <patternFill>
                  <bgColor theme="4" tint="-0.24994659260841701"/>
                </patternFill>
              </fill>
            </x14:dxf>
          </x14:cfRule>
          <xm:sqref>A4:B34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41</vt:i4>
      </vt:variant>
    </vt:vector>
  </HeadingPairs>
  <TitlesOfParts>
    <vt:vector size="46" baseType="lpstr">
      <vt:lpstr>Combatant Calculator</vt:lpstr>
      <vt:lpstr>Unit Calculator</vt:lpstr>
      <vt:lpstr>Vehicle Calculator</vt:lpstr>
      <vt:lpstr>Tabellen</vt:lpstr>
      <vt:lpstr>Movement</vt:lpstr>
      <vt:lpstr>AbilitytoCast</vt:lpstr>
      <vt:lpstr>Armor</vt:lpstr>
      <vt:lpstr>BaseCost</vt:lpstr>
      <vt:lpstr>DamageMultiMenu</vt:lpstr>
      <vt:lpstr>Defense</vt:lpstr>
      <vt:lpstr>'Combatant Calculator'!Druckbereich</vt:lpstr>
      <vt:lpstr>'Unit Calculator'!Druckbereich</vt:lpstr>
      <vt:lpstr>ElementalSpellBonus</vt:lpstr>
      <vt:lpstr>Endurance</vt:lpstr>
      <vt:lpstr>FormationManeuverModMenu</vt:lpstr>
      <vt:lpstr>FormationMenu</vt:lpstr>
      <vt:lpstr>FormationModification</vt:lpstr>
      <vt:lpstr>Formations</vt:lpstr>
      <vt:lpstr>LeaderBoost</vt:lpstr>
      <vt:lpstr>LeaderRange</vt:lpstr>
      <vt:lpstr>Maneuver</vt:lpstr>
      <vt:lpstr>Material</vt:lpstr>
      <vt:lpstr>MaterialMod</vt:lpstr>
      <vt:lpstr>MeleeDamage</vt:lpstr>
      <vt:lpstr>MeleeExtraD10</vt:lpstr>
      <vt:lpstr>MeleeExtraD6</vt:lpstr>
      <vt:lpstr>MeleeFixed</vt:lpstr>
      <vt:lpstr>MissileDamage</vt:lpstr>
      <vt:lpstr>MissileExtraD6</vt:lpstr>
      <vt:lpstr>MissileFixed</vt:lpstr>
      <vt:lpstr>Morale</vt:lpstr>
      <vt:lpstr>Movement</vt:lpstr>
      <vt:lpstr>Powerpoints</vt:lpstr>
      <vt:lpstr>ProfessionMod</vt:lpstr>
      <vt:lpstr>RaceMod</vt:lpstr>
      <vt:lpstr>RangeMod</vt:lpstr>
      <vt:lpstr>Resistance</vt:lpstr>
      <vt:lpstr>ShieldBonus</vt:lpstr>
      <vt:lpstr>SiegeWeaponMenu</vt:lpstr>
      <vt:lpstr>SiegeWeapons</vt:lpstr>
      <vt:lpstr>SkillsMenu</vt:lpstr>
      <vt:lpstr>SpellsLearned</vt:lpstr>
      <vt:lpstr>VehicleBaseCost</vt:lpstr>
      <vt:lpstr>WeaponMenu</vt:lpstr>
      <vt:lpstr>Weapons</vt:lpstr>
      <vt:lpstr>YesNo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</dc:creator>
  <cp:lastModifiedBy>Klapdor Sebastian</cp:lastModifiedBy>
  <cp:lastPrinted>2015-08-18T12:57:05Z</cp:lastPrinted>
  <dcterms:created xsi:type="dcterms:W3CDTF">2014-06-19T14:18:05Z</dcterms:created>
  <dcterms:modified xsi:type="dcterms:W3CDTF">2017-05-23T14:00:24Z</dcterms:modified>
</cp:coreProperties>
</file>