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7545" windowHeight="12825"/>
  </bookViews>
  <sheets>
    <sheet name="CharacterSheet" sheetId="1" r:id="rId1"/>
    <sheet name="DATA" sheetId="2" r:id="rId2"/>
  </sheets>
  <definedNames>
    <definedName name="ClassesKeyAbilities">DATA!$A$75:$A$87</definedName>
    <definedName name="Custom1">DATA!$H$69:$H$74</definedName>
    <definedName name="Custom2">DATA!$I$69:$I$74</definedName>
    <definedName name="Custom3">DATA!$J$69:$J$74</definedName>
    <definedName name="Custom4">DATA!$K$69:$K$74</definedName>
    <definedName name="Custom5">DATA!$L$69:$L$74</definedName>
    <definedName name="Custom6">DATA!$M$69:$M$74</definedName>
    <definedName name="Envoy">DATA!$A$69</definedName>
    <definedName name="Mechanic">DATA!$B$69</definedName>
    <definedName name="Mystic">DATA!$C$69</definedName>
    <definedName name="Operative">DATA!$D$69</definedName>
    <definedName name="Solarian">DATA!$E$69</definedName>
    <definedName name="Soldier">DATA!$F$69:$F$70</definedName>
    <definedName name="Technomancer">DATA!$G$69</definedName>
    <definedName name="ValidAbilities">DATA!$A$2:$A$7</definedName>
    <definedName name="ValidAlignment">DATA!$M$29:$M$37</definedName>
    <definedName name="ValidArmorCheckPenalty">DATA!$J$29:$J$41</definedName>
    <definedName name="ValidBaseSaveFort">DATA!$A$64:$A$66</definedName>
    <definedName name="ValidBaseSaveRef">DATA!$D$64:$D$66</definedName>
    <definedName name="ValidBaseSaveWill">DATA!$G$64:$G$66</definedName>
    <definedName name="ValidBulk">DATA!$M$40:$M$46</definedName>
    <definedName name="ValidClasses">DATA!$A$11:$A$23</definedName>
    <definedName name="ValidGenders">DATA!$E$2:$E$4</definedName>
    <definedName name="ValidProffession">DATA!$A$24:$A$26</definedName>
    <definedName name="ValidRaces">DATA!$A$30:$A$43</definedName>
    <definedName name="ValidSize">DATA!$O$29:$O$37</definedName>
    <definedName name="ValidThemes">DATA!$A$46:$A$61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33" i="1" l="1"/>
  <c r="Y117" i="1"/>
  <c r="Y109" i="1"/>
  <c r="Y101" i="1"/>
  <c r="Y93" i="1"/>
  <c r="Y85" i="1"/>
  <c r="Y77" i="1"/>
  <c r="AE69" i="1"/>
  <c r="AC117" i="1"/>
  <c r="AB16" i="2" l="1"/>
  <c r="A83" i="2"/>
  <c r="I68" i="2" s="1"/>
  <c r="A84" i="2"/>
  <c r="J68" i="2" s="1"/>
  <c r="A85" i="2"/>
  <c r="K68" i="2" s="1"/>
  <c r="A86" i="2"/>
  <c r="L68" i="2" s="1"/>
  <c r="A87" i="2"/>
  <c r="M68" i="2" s="1"/>
  <c r="A82" i="2"/>
  <c r="H68" i="2" s="1"/>
  <c r="I3" i="2"/>
  <c r="AB15" i="2"/>
  <c r="AB23" i="2"/>
  <c r="AB22" i="2"/>
  <c r="AB21" i="2"/>
  <c r="AB20" i="2"/>
  <c r="AB19" i="2"/>
  <c r="AB18" i="2"/>
  <c r="AB17" i="2"/>
  <c r="AB14" i="2"/>
  <c r="AB13" i="2"/>
  <c r="AB12" i="2"/>
  <c r="AB11" i="2"/>
  <c r="AI30" i="1" s="1"/>
  <c r="AI32" i="1" s="1"/>
  <c r="AI31" i="1" l="1"/>
  <c r="Q40" i="2"/>
  <c r="P40" i="2"/>
  <c r="O40" i="2"/>
  <c r="Q41" i="2"/>
  <c r="P41" i="2"/>
  <c r="O41" i="2"/>
  <c r="AC29" i="1"/>
  <c r="AE18" i="1"/>
  <c r="AE17" i="1"/>
  <c r="S40" i="2" l="1"/>
  <c r="S41" i="2"/>
  <c r="R41" i="2" s="1"/>
  <c r="S52" i="1" s="1"/>
  <c r="AE11" i="1"/>
  <c r="G14" i="1"/>
  <c r="G13" i="1"/>
  <c r="G12" i="1"/>
  <c r="B5" i="2" s="1"/>
  <c r="C5" i="2" s="1"/>
  <c r="I12" i="1" s="1"/>
  <c r="G11" i="1"/>
  <c r="G10" i="1"/>
  <c r="B3" i="2" s="1"/>
  <c r="C3" i="2" s="1"/>
  <c r="I10" i="1" s="1"/>
  <c r="G9" i="1"/>
  <c r="H65" i="2"/>
  <c r="E65" i="2"/>
  <c r="Z16" i="2" s="1"/>
  <c r="H66" i="2"/>
  <c r="AA23" i="2" s="1"/>
  <c r="E66" i="2"/>
  <c r="Z12" i="2" s="1"/>
  <c r="B66" i="2"/>
  <c r="B65" i="2"/>
  <c r="A41" i="1"/>
  <c r="Q41" i="1" s="1"/>
  <c r="A40" i="1"/>
  <c r="Q40" i="1" s="1"/>
  <c r="A39" i="1"/>
  <c r="Q39" i="1" s="1"/>
  <c r="A38" i="1"/>
  <c r="Q38" i="1" s="1"/>
  <c r="A37" i="1"/>
  <c r="Q37" i="1" s="1"/>
  <c r="A35" i="1"/>
  <c r="Q35" i="1" s="1"/>
  <c r="A33" i="1"/>
  <c r="Q33" i="1" s="1"/>
  <c r="A32" i="1"/>
  <c r="Q32" i="1" s="1"/>
  <c r="A31" i="1"/>
  <c r="Q31" i="1" s="1"/>
  <c r="A30" i="1"/>
  <c r="Q30" i="1" s="1"/>
  <c r="A29" i="1"/>
  <c r="Q29" i="1" s="1"/>
  <c r="A28" i="1"/>
  <c r="Q28" i="1" s="1"/>
  <c r="A27" i="1"/>
  <c r="Q27" i="1" s="1"/>
  <c r="A26" i="1"/>
  <c r="Q26" i="1" s="1"/>
  <c r="A25" i="1"/>
  <c r="Q25" i="1" s="1"/>
  <c r="A24" i="1"/>
  <c r="Q24" i="1" s="1"/>
  <c r="A23" i="1"/>
  <c r="Q23" i="1" s="1"/>
  <c r="A22" i="1"/>
  <c r="Q22" i="1" s="1"/>
  <c r="A21" i="1"/>
  <c r="Q21" i="1" s="1"/>
  <c r="A20" i="1"/>
  <c r="Q20" i="1" s="1"/>
  <c r="A19" i="1"/>
  <c r="Q19" i="1" s="1"/>
  <c r="B7" i="2" l="1"/>
  <c r="C7" i="2" s="1"/>
  <c r="I14" i="1" s="1"/>
  <c r="F77" i="2" s="1"/>
  <c r="F76" i="2"/>
  <c r="B6" i="2"/>
  <c r="C6" i="2" s="1"/>
  <c r="I13" i="1" s="1"/>
  <c r="S41" i="1" s="1"/>
  <c r="M41" i="1" s="1"/>
  <c r="AA15" i="2"/>
  <c r="AA11" i="2"/>
  <c r="H64" i="2" s="1"/>
  <c r="AI26" i="1" s="1"/>
  <c r="AA14" i="2"/>
  <c r="AA13" i="2"/>
  <c r="AA17" i="2"/>
  <c r="AA16" i="2"/>
  <c r="AA22" i="2"/>
  <c r="AA19" i="2"/>
  <c r="AA21" i="2"/>
  <c r="AA20" i="2"/>
  <c r="AA18" i="2"/>
  <c r="AA12" i="2"/>
  <c r="B4" i="2"/>
  <c r="C4" i="2" s="1"/>
  <c r="I11" i="1" s="1"/>
  <c r="AA11" i="1" s="1"/>
  <c r="W13" i="1"/>
  <c r="B2" i="2"/>
  <c r="C2" i="2" s="1"/>
  <c r="I9" i="1" s="1"/>
  <c r="S20" i="1" s="1"/>
  <c r="A52" i="1"/>
  <c r="M50" i="1"/>
  <c r="R43" i="2" s="1"/>
  <c r="M52" i="1"/>
  <c r="G52" i="1"/>
  <c r="S16" i="1"/>
  <c r="S17" i="1" s="1"/>
  <c r="G3" i="2" s="1"/>
  <c r="H3" i="2" s="1"/>
  <c r="AG8" i="1"/>
  <c r="AC8" i="1" s="1"/>
  <c r="Y20" i="2"/>
  <c r="Y23" i="2"/>
  <c r="Y22" i="2"/>
  <c r="Y13" i="2"/>
  <c r="Y21" i="2"/>
  <c r="Y11" i="2"/>
  <c r="B64" i="2" s="1"/>
  <c r="AI24" i="1" s="1"/>
  <c r="Y18" i="2"/>
  <c r="Y19" i="2"/>
  <c r="Z14" i="2"/>
  <c r="Z17" i="2"/>
  <c r="Z18" i="2"/>
  <c r="Z19" i="2"/>
  <c r="Y14" i="2"/>
  <c r="Y17" i="2"/>
  <c r="Z21" i="2"/>
  <c r="Z11" i="2"/>
  <c r="E64" i="2" s="1"/>
  <c r="AI25" i="1" s="1"/>
  <c r="AE25" i="1" s="1"/>
  <c r="Z20" i="2"/>
  <c r="Z13" i="2"/>
  <c r="Z22" i="2"/>
  <c r="Z15" i="2"/>
  <c r="Z23" i="2"/>
  <c r="Y12" i="2"/>
  <c r="Y15" i="2"/>
  <c r="Y16" i="2"/>
  <c r="AE31" i="1"/>
  <c r="AI11" i="1"/>
  <c r="B25" i="2"/>
  <c r="S35" i="1" s="1"/>
  <c r="M35" i="1" s="1"/>
  <c r="S32" i="1"/>
  <c r="M32" i="1" s="1"/>
  <c r="S29" i="1"/>
  <c r="M29" i="1" s="1"/>
  <c r="S28" i="1"/>
  <c r="M28" i="1" s="1"/>
  <c r="S40" i="1"/>
  <c r="S39" i="1"/>
  <c r="S33" i="1"/>
  <c r="M33" i="1" s="1"/>
  <c r="S19" i="1"/>
  <c r="S22" i="1"/>
  <c r="M22" i="1" s="1"/>
  <c r="S26" i="1"/>
  <c r="M26" i="1" s="1"/>
  <c r="S24" i="1"/>
  <c r="M24" i="1" s="1"/>
  <c r="S23" i="1"/>
  <c r="M23" i="1" s="1"/>
  <c r="S25" i="1" l="1"/>
  <c r="M25" i="1" s="1"/>
  <c r="S27" i="1"/>
  <c r="M27" i="1" s="1"/>
  <c r="S21" i="1"/>
  <c r="M21" i="1" s="1"/>
  <c r="B24" i="2"/>
  <c r="S37" i="1" s="1"/>
  <c r="M37" i="1" s="1"/>
  <c r="S31" i="1"/>
  <c r="M31" i="1" s="1"/>
  <c r="S30" i="1"/>
  <c r="M30" i="1" s="1"/>
  <c r="AE26" i="1"/>
  <c r="S38" i="1"/>
  <c r="M38" i="1" s="1"/>
  <c r="B26" i="2"/>
  <c r="AC70" i="2"/>
  <c r="X70" i="2"/>
  <c r="AC77" i="1" s="1"/>
  <c r="Z70" i="2"/>
  <c r="AC93" i="1" s="1"/>
  <c r="Y70" i="2"/>
  <c r="AC85" i="1" s="1"/>
  <c r="AA70" i="2"/>
  <c r="AC101" i="1" s="1"/>
  <c r="AB70" i="2"/>
  <c r="AC109" i="1" s="1"/>
  <c r="M19" i="1"/>
  <c r="M20" i="1"/>
  <c r="M40" i="1"/>
  <c r="M39" i="1"/>
  <c r="Q43" i="2"/>
  <c r="Q44" i="2" s="1"/>
  <c r="M4" i="1"/>
  <c r="AE32" i="1"/>
  <c r="AE30" i="1"/>
  <c r="AE24" i="1"/>
  <c r="AI18" i="1" l="1"/>
  <c r="AC18" i="1" s="1"/>
  <c r="AE19" i="1" s="1"/>
  <c r="AI17" i="1"/>
  <c r="AC17" i="1" s="1"/>
</calcChain>
</file>

<file path=xl/sharedStrings.xml><?xml version="1.0" encoding="utf-8"?>
<sst xmlns="http://schemas.openxmlformats.org/spreadsheetml/2006/main" count="727" uniqueCount="267">
  <si>
    <t>Str</t>
  </si>
  <si>
    <t>Dex</t>
  </si>
  <si>
    <t>Con</t>
  </si>
  <si>
    <t>Int</t>
  </si>
  <si>
    <t>Wis</t>
  </si>
  <si>
    <t>Cha</t>
  </si>
  <si>
    <t>ATTRIBUTE TABLE</t>
  </si>
  <si>
    <t>STR</t>
  </si>
  <si>
    <t>DEX</t>
  </si>
  <si>
    <t>CON</t>
  </si>
  <si>
    <t>INT</t>
  </si>
  <si>
    <t>WIS</t>
  </si>
  <si>
    <t>CHA</t>
  </si>
  <si>
    <t>M</t>
  </si>
  <si>
    <t>TS</t>
  </si>
  <si>
    <t>TM</t>
  </si>
  <si>
    <t>ABILITY SCORES</t>
  </si>
  <si>
    <t>SKILLS</t>
  </si>
  <si>
    <t>T</t>
  </si>
  <si>
    <t>R</t>
  </si>
  <si>
    <t>CL</t>
  </si>
  <si>
    <t>AB</t>
  </si>
  <si>
    <t>ACROBATICS* (DEX)</t>
  </si>
  <si>
    <t>ATHLETICS* (STR)</t>
  </si>
  <si>
    <t>BLUFF (CHA)</t>
  </si>
  <si>
    <t>† COMPUTERS (INT)</t>
  </si>
  <si>
    <t>† CULTURE (INT)</t>
  </si>
  <si>
    <t>DIPLOMACY (CHA)</t>
  </si>
  <si>
    <t>DISGUISE (CHA)</t>
  </si>
  <si>
    <t>† ENGINEERING (INT)</t>
  </si>
  <si>
    <t>INTIMIDATE (CHA)</t>
  </si>
  <si>
    <t>† LIFE SCIENCE (INT)</t>
  </si>
  <si>
    <t>† MEDICINE (INT)</t>
  </si>
  <si>
    <t>† MYSTICISM (WIS)</t>
  </si>
  <si>
    <t>PERCEPTION (WIS)</t>
  </si>
  <si>
    <t>† PHYSICAL SCIENCES (INT)</t>
  </si>
  <si>
    <t>PILOTING (DEX)</t>
  </si>
  <si>
    <t>SENSE MOTIVE (WIS)</t>
  </si>
  <si>
    <t>SURVIVAL (WIS)</t>
  </si>
  <si>
    <t>† SLEIGHT OF HAND* (DEX)</t>
  </si>
  <si>
    <t>STEALTH* (DEX)</t>
  </si>
  <si>
    <t>RANKS PER LEVEL</t>
  </si>
  <si>
    <t>UNSPENT RANKS</t>
  </si>
  <si>
    <t>† = TRAINED ONLY</t>
  </si>
  <si>
    <t>* = ARMOR CHECK PENALTY</t>
  </si>
  <si>
    <t>Envoy</t>
  </si>
  <si>
    <t>Mechanic</t>
  </si>
  <si>
    <t>Mystic</t>
  </si>
  <si>
    <t>Operative</t>
  </si>
  <si>
    <t>Solarian</t>
  </si>
  <si>
    <t>Soldier</t>
  </si>
  <si>
    <t>Technomancer</t>
  </si>
  <si>
    <t>Custom1</t>
  </si>
  <si>
    <t>Custom2</t>
  </si>
  <si>
    <t>Custom3</t>
  </si>
  <si>
    <t>Custom4</t>
  </si>
  <si>
    <t>Custom5</t>
  </si>
  <si>
    <t>Custom6</t>
  </si>
  <si>
    <t>CLASS SKILLS TABLE</t>
  </si>
  <si>
    <t>CLASS</t>
  </si>
  <si>
    <t>ClassSkills</t>
  </si>
  <si>
    <t>COMPUTERS (INT)</t>
  </si>
  <si>
    <t>CULTURE (INT)</t>
  </si>
  <si>
    <t>ENGINEERING (INT)</t>
  </si>
  <si>
    <t>LIFE SCIENCE (INT)</t>
  </si>
  <si>
    <t>MEDICINE (INT)</t>
  </si>
  <si>
    <t>MYSTICISM (WIS)</t>
  </si>
  <si>
    <t>PHYSICAL SCIENCE (INT)</t>
  </si>
  <si>
    <t>SLEIGHT OF HAND* (DEX)</t>
  </si>
  <si>
    <t>Profession (INT,CHA,WIS)</t>
  </si>
  <si>
    <t>y</t>
  </si>
  <si>
    <t>n</t>
  </si>
  <si>
    <t>† PROFESSION (CHA)</t>
  </si>
  <si>
    <t>† PROFESSION (INT)</t>
  </si>
  <si>
    <t>† PROFESSION (WIS)</t>
  </si>
  <si>
    <t>SP</t>
  </si>
  <si>
    <t>HP</t>
  </si>
  <si>
    <t>Skill Ranks</t>
  </si>
  <si>
    <t>LEVEL</t>
  </si>
  <si>
    <t>RACE</t>
  </si>
  <si>
    <t>THEME</t>
  </si>
  <si>
    <t>RACE TABLE</t>
  </si>
  <si>
    <t>Android</t>
  </si>
  <si>
    <t>Human</t>
  </si>
  <si>
    <t>Kasatha</t>
  </si>
  <si>
    <t>Lashunta (Damaya)</t>
  </si>
  <si>
    <t>Lashunta (Korasha)</t>
  </si>
  <si>
    <t>Shirren</t>
  </si>
  <si>
    <t>Vesk</t>
  </si>
  <si>
    <t>Ysoki</t>
  </si>
  <si>
    <t>RacePts</t>
  </si>
  <si>
    <t>ANY</t>
  </si>
  <si>
    <t>AS</t>
  </si>
  <si>
    <t>RS</t>
  </si>
  <si>
    <t>THEME TABLE</t>
  </si>
  <si>
    <t>Ace Pilot</t>
  </si>
  <si>
    <t>Bounty Hunter</t>
  </si>
  <si>
    <t>Icon</t>
  </si>
  <si>
    <t>Mercenary</t>
  </si>
  <si>
    <t>Outlaw</t>
  </si>
  <si>
    <t>Priest</t>
  </si>
  <si>
    <t>Scholasr</t>
  </si>
  <si>
    <t>Spacefarer</t>
  </si>
  <si>
    <t>Xenoseeker</t>
  </si>
  <si>
    <t>Themeless</t>
  </si>
  <si>
    <t>SIZE</t>
  </si>
  <si>
    <t>GENDER</t>
  </si>
  <si>
    <t>HOMEWORLD</t>
  </si>
  <si>
    <t>ALIGNMENT</t>
  </si>
  <si>
    <t>DEITY</t>
  </si>
  <si>
    <t>F</t>
  </si>
  <si>
    <t>O</t>
  </si>
  <si>
    <t>INITIATIVE</t>
  </si>
  <si>
    <t>Total</t>
  </si>
  <si>
    <t>Misc</t>
  </si>
  <si>
    <t>HEALTH &amp; RESOLVE</t>
  </si>
  <si>
    <t>Current</t>
  </si>
  <si>
    <t>Stamina Pts</t>
  </si>
  <si>
    <t>Hit Pts</t>
  </si>
  <si>
    <t>Resolve Pts</t>
  </si>
  <si>
    <t>KEY ABILITY</t>
  </si>
  <si>
    <t>ARMOR CLASS</t>
  </si>
  <si>
    <t>Armor</t>
  </si>
  <si>
    <t>=8+</t>
  </si>
  <si>
    <t>KAC</t>
  </si>
  <si>
    <t>KAC Kinetic AC</t>
  </si>
  <si>
    <t>EAC Energy AC</t>
  </si>
  <si>
    <t>AC vs Combat Maneuvers</t>
  </si>
  <si>
    <t>DR</t>
  </si>
  <si>
    <t>Resistances</t>
  </si>
  <si>
    <t>SAVING THROWS</t>
  </si>
  <si>
    <t>Base</t>
  </si>
  <si>
    <t>WILL</t>
  </si>
  <si>
    <t>FORTITUDE (CON)</t>
  </si>
  <si>
    <t>REFLEX (DEX)</t>
  </si>
  <si>
    <t>WILL (WIS)</t>
  </si>
  <si>
    <t>FORT SAVE TABLE</t>
  </si>
  <si>
    <t>Good</t>
  </si>
  <si>
    <t>Poor</t>
  </si>
  <si>
    <t>ATTACK BONUSES</t>
  </si>
  <si>
    <t>BAB</t>
  </si>
  <si>
    <t>Melee Attack (STR)</t>
  </si>
  <si>
    <t>Ranged Attack (DEX)</t>
  </si>
  <si>
    <t>Thrown Attack (STR)</t>
  </si>
  <si>
    <t>KEY ABILITIES TABLE</t>
  </si>
  <si>
    <t>A69:A69</t>
  </si>
  <si>
    <t>B69:B69</t>
  </si>
  <si>
    <t>C69:C69</t>
  </si>
  <si>
    <t>D69:D69</t>
  </si>
  <si>
    <t>E69:E69</t>
  </si>
  <si>
    <t>F69:F70</t>
  </si>
  <si>
    <t>G69:G69</t>
  </si>
  <si>
    <t>H69:H74</t>
  </si>
  <si>
    <t>I69:I74</t>
  </si>
  <si>
    <t>J69:J74</t>
  </si>
  <si>
    <t>K69:K74</t>
  </si>
  <si>
    <t>L69:L74</t>
  </si>
  <si>
    <t>Classes</t>
  </si>
  <si>
    <t>A75:A87</t>
  </si>
  <si>
    <t>FORT</t>
  </si>
  <si>
    <t>REF</t>
  </si>
  <si>
    <t>Auto</t>
  </si>
  <si>
    <t>REF SAVE TABLE</t>
  </si>
  <si>
    <t>WILL SAVE TABLE</t>
  </si>
  <si>
    <t>ALIGNMENT TABLE</t>
  </si>
  <si>
    <t>LG</t>
  </si>
  <si>
    <t>NG</t>
  </si>
  <si>
    <t>CG</t>
  </si>
  <si>
    <t>LN</t>
  </si>
  <si>
    <t>TN</t>
  </si>
  <si>
    <t>CN</t>
  </si>
  <si>
    <t>LE</t>
  </si>
  <si>
    <t>NE</t>
  </si>
  <si>
    <t>CE</t>
  </si>
  <si>
    <t>SIZE TABLE</t>
  </si>
  <si>
    <t>Fine</t>
  </si>
  <si>
    <t>Diminutive</t>
  </si>
  <si>
    <t>Tiny</t>
  </si>
  <si>
    <t>Small</t>
  </si>
  <si>
    <t>Medium</t>
  </si>
  <si>
    <t>Large</t>
  </si>
  <si>
    <t>Huge</t>
  </si>
  <si>
    <t>Gargantuan</t>
  </si>
  <si>
    <t>Colossal</t>
  </si>
  <si>
    <t>NOTES</t>
  </si>
  <si>
    <t>RS = Raw Score  AS = Adjusted Score  TS = Temp Score  TM = Temp Modifier</t>
  </si>
  <si>
    <t>Negative Levels</t>
  </si>
  <si>
    <t>WEAPONS</t>
  </si>
  <si>
    <t>Damage</t>
  </si>
  <si>
    <t>Attk Bonus</t>
  </si>
  <si>
    <t>Level</t>
  </si>
  <si>
    <t>Weapon</t>
  </si>
  <si>
    <t>Critical</t>
  </si>
  <si>
    <t>Range</t>
  </si>
  <si>
    <t>Type</t>
  </si>
  <si>
    <t>Ammo/Use</t>
  </si>
  <si>
    <t>Special</t>
  </si>
  <si>
    <t>ARMOR</t>
  </si>
  <si>
    <t>EAC</t>
  </si>
  <si>
    <t>Max Dex</t>
  </si>
  <si>
    <t>Chk Penalty</t>
  </si>
  <si>
    <t>Speed Adj</t>
  </si>
  <si>
    <t>Upgrades</t>
  </si>
  <si>
    <t>Upgrade Slots</t>
  </si>
  <si>
    <t>Bulk</t>
  </si>
  <si>
    <t>SPEED (ft)</t>
  </si>
  <si>
    <t>Natural Reach (ft)</t>
  </si>
  <si>
    <t>Natural Speed (ft)</t>
  </si>
  <si>
    <t>LANGUAGES</t>
  </si>
  <si>
    <t>CARRYING CAPACITY</t>
  </si>
  <si>
    <t>Unencumbered</t>
  </si>
  <si>
    <t>Encumbered</t>
  </si>
  <si>
    <t>Overburdened</t>
  </si>
  <si>
    <t>Total Bulk</t>
  </si>
  <si>
    <t>EQUIPMENT</t>
  </si>
  <si>
    <t>BULK TABLE</t>
  </si>
  <si>
    <t>L</t>
  </si>
  <si>
    <t>-</t>
  </si>
  <si>
    <t>Skill Chk</t>
  </si>
  <si>
    <t>Bulk Penalty</t>
  </si>
  <si>
    <t>Compared Penalty</t>
  </si>
  <si>
    <t>Armor Check Penalty</t>
  </si>
  <si>
    <t>CHARACTER NAME</t>
  </si>
  <si>
    <t>skill ranks calcs</t>
  </si>
  <si>
    <t>CLASS SP &amp; HP</t>
  </si>
  <si>
    <t>CLASS BASE SAVES</t>
  </si>
  <si>
    <t>Change cells above to formula</t>
  </si>
  <si>
    <t>=B66</t>
  </si>
  <si>
    <t>=E66</t>
  </si>
  <si>
    <t>=H66</t>
  </si>
  <si>
    <t>to Auto "Good" saves</t>
  </si>
  <si>
    <t>=CharacterSheet!O3</t>
  </si>
  <si>
    <t>for "Good" BAB</t>
  </si>
  <si>
    <t>Controls option for Key Abilities pull-down menu</t>
  </si>
  <si>
    <t>Ability Score Bonus from Theme</t>
  </si>
  <si>
    <t>Ability Score Bonus from Race</t>
  </si>
  <si>
    <t>Class Skills (Y) or Cross-class (N)</t>
  </si>
  <si>
    <t>1st</t>
  </si>
  <si>
    <t>2nd</t>
  </si>
  <si>
    <t>3rd</t>
  </si>
  <si>
    <t>4th</t>
  </si>
  <si>
    <t>5th</t>
  </si>
  <si>
    <t>6th</t>
  </si>
  <si>
    <t>Spells per day Table</t>
  </si>
  <si>
    <t>SPELLS KNOWN</t>
  </si>
  <si>
    <t>SPELLS/DAY</t>
  </si>
  <si>
    <t>SPELL SLOTS USED</t>
  </si>
  <si>
    <t>Bonus Spells per day Table</t>
  </si>
  <si>
    <t>Score</t>
  </si>
  <si>
    <t>Key Ability Score</t>
  </si>
  <si>
    <t>Key Ability Mod</t>
  </si>
  <si>
    <t>ADD</t>
  </si>
  <si>
    <t>Spells known Table</t>
  </si>
  <si>
    <t>Cedits
Carried</t>
  </si>
  <si>
    <t>Credits
Stored</t>
  </si>
  <si>
    <t>Credits Account</t>
  </si>
  <si>
    <t>Other Wealth</t>
  </si>
  <si>
    <t>EXPERIENCE POINTS</t>
  </si>
  <si>
    <t>NEXT
LEVEL</t>
  </si>
  <si>
    <t>XP
EARNED</t>
  </si>
  <si>
    <t>CHARACTER XP TABLE</t>
  </si>
  <si>
    <t>XP</t>
  </si>
  <si>
    <t>next</t>
  </si>
  <si>
    <t>WEALTH</t>
  </si>
  <si>
    <t>ABILITIES</t>
  </si>
  <si>
    <t>FEATS &amp; PROFICIENCIES</t>
  </si>
  <si>
    <t>M69:M71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</si>
</sst>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 vertical="center"/>
    </xf>
    <xf numFmtId="0" fontId="1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15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Protection="1"/>
    <xf numFmtId="0" fontId="0" fillId="0" borderId="0" xfId="0" applyFill="1"/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quotePrefix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7" xfId="0" applyFont="1" applyBorder="1"/>
    <xf numFmtId="0" fontId="2" fillId="2" borderId="6" xfId="0" applyFont="1" applyFill="1" applyBorder="1" applyAlignment="1" applyProtection="1">
      <alignment horizontal="center" vertical="center"/>
      <protection locked="0"/>
    </xf>
    <xf numFmtId="1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1" fontId="0" fillId="0" borderId="5" xfId="0" applyNumberFormat="1" applyBorder="1"/>
    <xf numFmtId="1" fontId="0" fillId="0" borderId="5" xfId="0" applyNumberFormat="1" applyBorder="1" applyAlignment="1">
      <alignment horizontal="center"/>
    </xf>
    <xf numFmtId="0" fontId="2" fillId="0" borderId="0" xfId="0" applyFont="1" applyFill="1" applyBorder="1" applyProtection="1"/>
    <xf numFmtId="0" fontId="0" fillId="2" borderId="5" xfId="0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/>
    <xf numFmtId="0" fontId="0" fillId="0" borderId="5" xfId="0" applyFill="1" applyBorder="1" applyAlignment="1" applyProtection="1">
      <alignment horizontal="center" vertical="center"/>
    </xf>
    <xf numFmtId="0" fontId="0" fillId="0" borderId="15" xfId="0" applyBorder="1"/>
    <xf numFmtId="0" fontId="1" fillId="0" borderId="5" xfId="0" applyFont="1" applyFill="1" applyBorder="1"/>
    <xf numFmtId="0" fontId="1" fillId="5" borderId="5" xfId="0" applyFont="1" applyFill="1" applyBorder="1"/>
    <xf numFmtId="0" fontId="0" fillId="0" borderId="5" xfId="0" quotePrefix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Fill="1" applyBorder="1"/>
    <xf numFmtId="0" fontId="0" fillId="0" borderId="24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2" borderId="5" xfId="0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0" fillId="0" borderId="22" xfId="0" applyBorder="1" applyAlignment="1"/>
    <xf numFmtId="0" fontId="0" fillId="0" borderId="17" xfId="0" applyBorder="1"/>
    <xf numFmtId="0" fontId="0" fillId="0" borderId="13" xfId="0" applyBorder="1"/>
    <xf numFmtId="3" fontId="0" fillId="0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4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29" xfId="0" quotePrefix="1" applyFill="1" applyBorder="1" applyAlignment="1">
      <alignment horizontal="center"/>
    </xf>
  </cellXfs>
  <cellStyles count="1">
    <cellStyle name="Normal" xfId="0" builtinId="0"/>
  </cellStyles>
  <dxfs count="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69</xdr:row>
          <xdr:rowOff>0</xdr:rowOff>
        </xdr:from>
        <xdr:to>
          <xdr:col>23</xdr:col>
          <xdr:colOff>0</xdr:colOff>
          <xdr:row>70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70</xdr:row>
          <xdr:rowOff>0</xdr:rowOff>
        </xdr:from>
        <xdr:to>
          <xdr:col>23</xdr:col>
          <xdr:colOff>0</xdr:colOff>
          <xdr:row>71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71</xdr:row>
          <xdr:rowOff>0</xdr:rowOff>
        </xdr:from>
        <xdr:to>
          <xdr:col>23</xdr:col>
          <xdr:colOff>0</xdr:colOff>
          <xdr:row>72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72</xdr:row>
          <xdr:rowOff>0</xdr:rowOff>
        </xdr:from>
        <xdr:to>
          <xdr:col>23</xdr:col>
          <xdr:colOff>0</xdr:colOff>
          <xdr:row>73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73</xdr:row>
          <xdr:rowOff>0</xdr:rowOff>
        </xdr:from>
        <xdr:to>
          <xdr:col>23</xdr:col>
          <xdr:colOff>0</xdr:colOff>
          <xdr:row>74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74</xdr:row>
          <xdr:rowOff>0</xdr:rowOff>
        </xdr:from>
        <xdr:to>
          <xdr:col>23</xdr:col>
          <xdr:colOff>0</xdr:colOff>
          <xdr:row>75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77</xdr:row>
          <xdr:rowOff>0</xdr:rowOff>
        </xdr:from>
        <xdr:to>
          <xdr:col>23</xdr:col>
          <xdr:colOff>0</xdr:colOff>
          <xdr:row>78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78</xdr:row>
          <xdr:rowOff>0</xdr:rowOff>
        </xdr:from>
        <xdr:to>
          <xdr:col>23</xdr:col>
          <xdr:colOff>0</xdr:colOff>
          <xdr:row>79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79</xdr:row>
          <xdr:rowOff>0</xdr:rowOff>
        </xdr:from>
        <xdr:to>
          <xdr:col>23</xdr:col>
          <xdr:colOff>0</xdr:colOff>
          <xdr:row>80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80</xdr:row>
          <xdr:rowOff>0</xdr:rowOff>
        </xdr:from>
        <xdr:to>
          <xdr:col>23</xdr:col>
          <xdr:colOff>0</xdr:colOff>
          <xdr:row>81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81</xdr:row>
          <xdr:rowOff>0</xdr:rowOff>
        </xdr:from>
        <xdr:to>
          <xdr:col>23</xdr:col>
          <xdr:colOff>0</xdr:colOff>
          <xdr:row>82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82</xdr:row>
          <xdr:rowOff>0</xdr:rowOff>
        </xdr:from>
        <xdr:to>
          <xdr:col>23</xdr:col>
          <xdr:colOff>0</xdr:colOff>
          <xdr:row>83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82</xdr:row>
          <xdr:rowOff>0</xdr:rowOff>
        </xdr:from>
        <xdr:to>
          <xdr:col>23</xdr:col>
          <xdr:colOff>0</xdr:colOff>
          <xdr:row>83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85</xdr:row>
          <xdr:rowOff>0</xdr:rowOff>
        </xdr:from>
        <xdr:to>
          <xdr:col>23</xdr:col>
          <xdr:colOff>0</xdr:colOff>
          <xdr:row>86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87</xdr:row>
          <xdr:rowOff>0</xdr:rowOff>
        </xdr:from>
        <xdr:to>
          <xdr:col>23</xdr:col>
          <xdr:colOff>0</xdr:colOff>
          <xdr:row>88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88</xdr:row>
          <xdr:rowOff>0</xdr:rowOff>
        </xdr:from>
        <xdr:to>
          <xdr:col>23</xdr:col>
          <xdr:colOff>0</xdr:colOff>
          <xdr:row>89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89</xdr:row>
          <xdr:rowOff>0</xdr:rowOff>
        </xdr:from>
        <xdr:to>
          <xdr:col>23</xdr:col>
          <xdr:colOff>0</xdr:colOff>
          <xdr:row>90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90</xdr:row>
          <xdr:rowOff>0</xdr:rowOff>
        </xdr:from>
        <xdr:to>
          <xdr:col>23</xdr:col>
          <xdr:colOff>0</xdr:colOff>
          <xdr:row>91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86</xdr:row>
          <xdr:rowOff>0</xdr:rowOff>
        </xdr:from>
        <xdr:to>
          <xdr:col>23</xdr:col>
          <xdr:colOff>0</xdr:colOff>
          <xdr:row>87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90</xdr:row>
          <xdr:rowOff>0</xdr:rowOff>
        </xdr:from>
        <xdr:to>
          <xdr:col>23</xdr:col>
          <xdr:colOff>0</xdr:colOff>
          <xdr:row>91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90</xdr:row>
          <xdr:rowOff>0</xdr:rowOff>
        </xdr:from>
        <xdr:to>
          <xdr:col>23</xdr:col>
          <xdr:colOff>0</xdr:colOff>
          <xdr:row>91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93</xdr:row>
          <xdr:rowOff>0</xdr:rowOff>
        </xdr:from>
        <xdr:to>
          <xdr:col>23</xdr:col>
          <xdr:colOff>0</xdr:colOff>
          <xdr:row>94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96</xdr:row>
          <xdr:rowOff>0</xdr:rowOff>
        </xdr:from>
        <xdr:to>
          <xdr:col>23</xdr:col>
          <xdr:colOff>0</xdr:colOff>
          <xdr:row>97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97</xdr:row>
          <xdr:rowOff>0</xdr:rowOff>
        </xdr:from>
        <xdr:to>
          <xdr:col>23</xdr:col>
          <xdr:colOff>0</xdr:colOff>
          <xdr:row>98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98</xdr:row>
          <xdr:rowOff>0</xdr:rowOff>
        </xdr:from>
        <xdr:to>
          <xdr:col>23</xdr:col>
          <xdr:colOff>0</xdr:colOff>
          <xdr:row>99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94</xdr:row>
          <xdr:rowOff>0</xdr:rowOff>
        </xdr:from>
        <xdr:to>
          <xdr:col>23</xdr:col>
          <xdr:colOff>0</xdr:colOff>
          <xdr:row>95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95</xdr:row>
          <xdr:rowOff>0</xdr:rowOff>
        </xdr:from>
        <xdr:to>
          <xdr:col>23</xdr:col>
          <xdr:colOff>0</xdr:colOff>
          <xdr:row>96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98</xdr:row>
          <xdr:rowOff>0</xdr:rowOff>
        </xdr:from>
        <xdr:to>
          <xdr:col>23</xdr:col>
          <xdr:colOff>0</xdr:colOff>
          <xdr:row>99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98</xdr:row>
          <xdr:rowOff>0</xdr:rowOff>
        </xdr:from>
        <xdr:to>
          <xdr:col>23</xdr:col>
          <xdr:colOff>0</xdr:colOff>
          <xdr:row>99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98</xdr:row>
          <xdr:rowOff>0</xdr:rowOff>
        </xdr:from>
        <xdr:to>
          <xdr:col>23</xdr:col>
          <xdr:colOff>0</xdr:colOff>
          <xdr:row>99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101</xdr:row>
          <xdr:rowOff>0</xdr:rowOff>
        </xdr:from>
        <xdr:to>
          <xdr:col>23</xdr:col>
          <xdr:colOff>0</xdr:colOff>
          <xdr:row>102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104</xdr:row>
          <xdr:rowOff>0</xdr:rowOff>
        </xdr:from>
        <xdr:to>
          <xdr:col>23</xdr:col>
          <xdr:colOff>0</xdr:colOff>
          <xdr:row>105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105</xdr:row>
          <xdr:rowOff>0</xdr:rowOff>
        </xdr:from>
        <xdr:to>
          <xdr:col>23</xdr:col>
          <xdr:colOff>0</xdr:colOff>
          <xdr:row>106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106</xdr:row>
          <xdr:rowOff>0</xdr:rowOff>
        </xdr:from>
        <xdr:to>
          <xdr:col>23</xdr:col>
          <xdr:colOff>0</xdr:colOff>
          <xdr:row>107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102</xdr:row>
          <xdr:rowOff>0</xdr:rowOff>
        </xdr:from>
        <xdr:to>
          <xdr:col>23</xdr:col>
          <xdr:colOff>0</xdr:colOff>
          <xdr:row>103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103</xdr:row>
          <xdr:rowOff>0</xdr:rowOff>
        </xdr:from>
        <xdr:to>
          <xdr:col>23</xdr:col>
          <xdr:colOff>0</xdr:colOff>
          <xdr:row>104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106</xdr:row>
          <xdr:rowOff>0</xdr:rowOff>
        </xdr:from>
        <xdr:to>
          <xdr:col>23</xdr:col>
          <xdr:colOff>0</xdr:colOff>
          <xdr:row>107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106</xdr:row>
          <xdr:rowOff>0</xdr:rowOff>
        </xdr:from>
        <xdr:to>
          <xdr:col>23</xdr:col>
          <xdr:colOff>0</xdr:colOff>
          <xdr:row>107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106</xdr:row>
          <xdr:rowOff>0</xdr:rowOff>
        </xdr:from>
        <xdr:to>
          <xdr:col>23</xdr:col>
          <xdr:colOff>0</xdr:colOff>
          <xdr:row>107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106</xdr:row>
          <xdr:rowOff>0</xdr:rowOff>
        </xdr:from>
        <xdr:to>
          <xdr:col>23</xdr:col>
          <xdr:colOff>0</xdr:colOff>
          <xdr:row>107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109</xdr:row>
          <xdr:rowOff>0</xdr:rowOff>
        </xdr:from>
        <xdr:to>
          <xdr:col>23</xdr:col>
          <xdr:colOff>0</xdr:colOff>
          <xdr:row>110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112</xdr:row>
          <xdr:rowOff>0</xdr:rowOff>
        </xdr:from>
        <xdr:to>
          <xdr:col>23</xdr:col>
          <xdr:colOff>0</xdr:colOff>
          <xdr:row>113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113</xdr:row>
          <xdr:rowOff>0</xdr:rowOff>
        </xdr:from>
        <xdr:to>
          <xdr:col>23</xdr:col>
          <xdr:colOff>0</xdr:colOff>
          <xdr:row>114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114</xdr:row>
          <xdr:rowOff>0</xdr:rowOff>
        </xdr:from>
        <xdr:to>
          <xdr:col>23</xdr:col>
          <xdr:colOff>0</xdr:colOff>
          <xdr:row>115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110</xdr:row>
          <xdr:rowOff>0</xdr:rowOff>
        </xdr:from>
        <xdr:to>
          <xdr:col>23</xdr:col>
          <xdr:colOff>0</xdr:colOff>
          <xdr:row>111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111</xdr:row>
          <xdr:rowOff>0</xdr:rowOff>
        </xdr:from>
        <xdr:to>
          <xdr:col>23</xdr:col>
          <xdr:colOff>0</xdr:colOff>
          <xdr:row>112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114</xdr:row>
          <xdr:rowOff>0</xdr:rowOff>
        </xdr:from>
        <xdr:to>
          <xdr:col>23</xdr:col>
          <xdr:colOff>0</xdr:colOff>
          <xdr:row>115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114</xdr:row>
          <xdr:rowOff>0</xdr:rowOff>
        </xdr:from>
        <xdr:to>
          <xdr:col>23</xdr:col>
          <xdr:colOff>0</xdr:colOff>
          <xdr:row>115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114</xdr:row>
          <xdr:rowOff>0</xdr:rowOff>
        </xdr:from>
        <xdr:to>
          <xdr:col>23</xdr:col>
          <xdr:colOff>0</xdr:colOff>
          <xdr:row>115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114</xdr:row>
          <xdr:rowOff>0</xdr:rowOff>
        </xdr:from>
        <xdr:to>
          <xdr:col>23</xdr:col>
          <xdr:colOff>0</xdr:colOff>
          <xdr:row>115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114</xdr:row>
          <xdr:rowOff>0</xdr:rowOff>
        </xdr:from>
        <xdr:to>
          <xdr:col>23</xdr:col>
          <xdr:colOff>0</xdr:colOff>
          <xdr:row>115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117</xdr:row>
          <xdr:rowOff>0</xdr:rowOff>
        </xdr:from>
        <xdr:to>
          <xdr:col>23</xdr:col>
          <xdr:colOff>0</xdr:colOff>
          <xdr:row>118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120</xdr:row>
          <xdr:rowOff>0</xdr:rowOff>
        </xdr:from>
        <xdr:to>
          <xdr:col>23</xdr:col>
          <xdr:colOff>0</xdr:colOff>
          <xdr:row>121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121</xdr:row>
          <xdr:rowOff>0</xdr:rowOff>
        </xdr:from>
        <xdr:to>
          <xdr:col>23</xdr:col>
          <xdr:colOff>0</xdr:colOff>
          <xdr:row>122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122</xdr:row>
          <xdr:rowOff>0</xdr:rowOff>
        </xdr:from>
        <xdr:to>
          <xdr:col>23</xdr:col>
          <xdr:colOff>0</xdr:colOff>
          <xdr:row>123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118</xdr:row>
          <xdr:rowOff>0</xdr:rowOff>
        </xdr:from>
        <xdr:to>
          <xdr:col>23</xdr:col>
          <xdr:colOff>0</xdr:colOff>
          <xdr:row>119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119</xdr:row>
          <xdr:rowOff>0</xdr:rowOff>
        </xdr:from>
        <xdr:to>
          <xdr:col>23</xdr:col>
          <xdr:colOff>0</xdr:colOff>
          <xdr:row>120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34"/>
  <sheetViews>
    <sheetView tabSelected="1" zoomScale="139" zoomScaleNormal="139" workbookViewId="0">
      <selection activeCell="E3" sqref="E3:I3"/>
    </sheetView>
  </sheetViews>
  <sheetFormatPr defaultColWidth="3.7109375" defaultRowHeight="11.25" x14ac:dyDescent="0.2"/>
  <cols>
    <col min="1" max="1" width="4.140625" style="9" bestFit="1" customWidth="1"/>
    <col min="2" max="2" width="0.85546875" style="9" customWidth="1"/>
    <col min="3" max="3" width="3.7109375" style="9"/>
    <col min="4" max="4" width="0.85546875" style="9" customWidth="1"/>
    <col min="5" max="5" width="3.7109375" style="9"/>
    <col min="6" max="6" width="0.85546875" style="9" customWidth="1"/>
    <col min="7" max="7" width="3.7109375" style="9"/>
    <col min="8" max="8" width="0.85546875" style="9" customWidth="1"/>
    <col min="9" max="9" width="3.7109375" style="9"/>
    <col min="10" max="10" width="0.85546875" style="9" customWidth="1"/>
    <col min="11" max="11" width="3.7109375" style="9"/>
    <col min="12" max="12" width="0.85546875" style="9" customWidth="1"/>
    <col min="13" max="13" width="4.140625" style="9" bestFit="1" customWidth="1"/>
    <col min="14" max="14" width="0.85546875" style="9" customWidth="1"/>
    <col min="15" max="15" width="3.7109375" style="9"/>
    <col min="16" max="16" width="0.85546875" style="9" customWidth="1"/>
    <col min="17" max="17" width="3.7109375" style="9"/>
    <col min="18" max="18" width="0.85546875" style="9" customWidth="1"/>
    <col min="19" max="19" width="3.7109375" style="9"/>
    <col min="20" max="20" width="0.85546875" style="9" customWidth="1"/>
    <col min="21" max="21" width="3.7109375" style="9"/>
    <col min="22" max="22" width="0.85546875" style="9" customWidth="1"/>
    <col min="23" max="23" width="3.7109375" style="9"/>
    <col min="24" max="24" width="0.85546875" style="9" customWidth="1"/>
    <col min="25" max="25" width="3.7109375" style="9"/>
    <col min="26" max="26" width="0.85546875" style="9" customWidth="1"/>
    <col min="27" max="27" width="3.7109375" style="9"/>
    <col min="28" max="28" width="0.85546875" style="9" customWidth="1"/>
    <col min="29" max="29" width="4.140625" style="9" bestFit="1" customWidth="1"/>
    <col min="30" max="30" width="0.85546875" style="9" customWidth="1"/>
    <col min="31" max="31" width="3.7109375" style="9"/>
    <col min="32" max="32" width="0.85546875" style="9" customWidth="1"/>
    <col min="33" max="33" width="3.7109375" style="9"/>
    <col min="34" max="34" width="0.85546875" style="9" customWidth="1"/>
    <col min="35" max="35" width="4.5703125" style="9" bestFit="1" customWidth="1"/>
    <col min="36" max="36" width="0.85546875" style="9" customWidth="1"/>
    <col min="37" max="16384" width="3.7109375" style="9"/>
  </cols>
  <sheetData>
    <row r="1" spans="1:37" x14ac:dyDescent="0.2">
      <c r="A1" s="128" t="s">
        <v>222</v>
      </c>
      <c r="B1" s="128"/>
      <c r="C1" s="128"/>
      <c r="D1" s="128"/>
      <c r="E1" s="128"/>
      <c r="F1" s="128"/>
      <c r="G1" s="128"/>
      <c r="I1" s="108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10"/>
    </row>
    <row r="2" spans="1:37" x14ac:dyDescent="0.2">
      <c r="I2" s="111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3"/>
    </row>
    <row r="3" spans="1:37" x14ac:dyDescent="0.2">
      <c r="A3" s="133" t="s">
        <v>59</v>
      </c>
      <c r="B3" s="134"/>
      <c r="C3" s="135"/>
      <c r="E3" s="145" t="s">
        <v>45</v>
      </c>
      <c r="F3" s="145"/>
      <c r="G3" s="145"/>
      <c r="H3" s="145"/>
      <c r="I3" s="157"/>
      <c r="K3" s="153" t="s">
        <v>78</v>
      </c>
      <c r="L3" s="154"/>
      <c r="M3" s="155"/>
      <c r="O3" s="66">
        <v>1</v>
      </c>
      <c r="Q3" s="153" t="s">
        <v>79</v>
      </c>
      <c r="R3" s="154"/>
      <c r="S3" s="155"/>
      <c r="U3" s="150" t="s">
        <v>83</v>
      </c>
      <c r="V3" s="151"/>
      <c r="W3" s="151"/>
      <c r="X3" s="103"/>
      <c r="Y3" s="103"/>
      <c r="Z3" s="103"/>
      <c r="AA3" s="152"/>
      <c r="AC3" s="153" t="s">
        <v>80</v>
      </c>
      <c r="AD3" s="154"/>
      <c r="AE3" s="155"/>
      <c r="AG3" s="156" t="s">
        <v>97</v>
      </c>
      <c r="AH3" s="103"/>
      <c r="AI3" s="103"/>
      <c r="AJ3" s="103"/>
      <c r="AK3" s="152"/>
    </row>
    <row r="4" spans="1:37" x14ac:dyDescent="0.2">
      <c r="A4" s="133" t="s">
        <v>105</v>
      </c>
      <c r="B4" s="134"/>
      <c r="C4" s="135"/>
      <c r="E4" s="157" t="s">
        <v>179</v>
      </c>
      <c r="F4" s="157"/>
      <c r="G4" s="157"/>
      <c r="I4" s="153" t="s">
        <v>205</v>
      </c>
      <c r="J4" s="134"/>
      <c r="K4" s="135"/>
      <c r="M4" s="63">
        <f>IF(M50="OVERBURDENED",5,IF(M50="ENCUMBERED",(AI5+AA58-5),(AI5+AA58)))</f>
        <v>30</v>
      </c>
      <c r="O4" s="133" t="s">
        <v>106</v>
      </c>
      <c r="P4" s="134"/>
      <c r="Q4" s="135"/>
      <c r="S4" s="47" t="s">
        <v>13</v>
      </c>
      <c r="U4" s="133" t="s">
        <v>107</v>
      </c>
      <c r="V4" s="134"/>
      <c r="W4" s="134"/>
      <c r="X4" s="134"/>
      <c r="Y4" s="135"/>
      <c r="Z4" s="59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37"/>
    </row>
    <row r="5" spans="1:37" x14ac:dyDescent="0.2">
      <c r="A5" s="133" t="s">
        <v>108</v>
      </c>
      <c r="B5" s="134"/>
      <c r="C5" s="135"/>
      <c r="E5" s="47" t="s">
        <v>165</v>
      </c>
      <c r="G5" s="153" t="s">
        <v>109</v>
      </c>
      <c r="H5" s="134"/>
      <c r="I5" s="135"/>
      <c r="K5" s="136"/>
      <c r="L5" s="102"/>
      <c r="M5" s="103"/>
      <c r="N5" s="103"/>
      <c r="O5" s="103"/>
      <c r="P5" s="102"/>
      <c r="Q5" s="137"/>
      <c r="S5" s="133" t="s">
        <v>120</v>
      </c>
      <c r="T5" s="134"/>
      <c r="U5" s="134"/>
      <c r="V5" s="134"/>
      <c r="W5" s="135"/>
      <c r="Y5" s="136" t="s">
        <v>3</v>
      </c>
      <c r="Z5" s="102"/>
      <c r="AA5" s="137"/>
      <c r="AC5" s="133" t="s">
        <v>207</v>
      </c>
      <c r="AD5" s="134"/>
      <c r="AE5" s="134"/>
      <c r="AF5" s="134"/>
      <c r="AG5" s="135"/>
      <c r="AI5" s="136">
        <v>30</v>
      </c>
      <c r="AJ5" s="102"/>
      <c r="AK5" s="137"/>
    </row>
    <row r="7" spans="1:37" x14ac:dyDescent="0.2">
      <c r="A7" s="105" t="s">
        <v>16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O7" s="128" t="s">
        <v>184</v>
      </c>
      <c r="P7" s="128"/>
      <c r="Q7" s="128"/>
      <c r="R7" s="128"/>
      <c r="S7" s="128"/>
      <c r="T7" s="128"/>
      <c r="U7" s="128"/>
      <c r="W7" s="167" t="s">
        <v>112</v>
      </c>
      <c r="X7" s="167"/>
      <c r="Y7" s="167"/>
      <c r="Z7" s="167"/>
      <c r="AA7" s="167"/>
      <c r="AC7" s="147" t="s">
        <v>113</v>
      </c>
      <c r="AD7" s="147"/>
      <c r="AE7" s="147"/>
      <c r="AF7" s="10"/>
      <c r="AG7" s="10" t="s">
        <v>8</v>
      </c>
      <c r="AH7" s="10"/>
      <c r="AI7" s="147" t="s">
        <v>114</v>
      </c>
      <c r="AJ7" s="147"/>
      <c r="AK7" s="147"/>
    </row>
    <row r="8" spans="1:37" x14ac:dyDescent="0.2">
      <c r="E8" s="10" t="s">
        <v>93</v>
      </c>
      <c r="F8" s="10"/>
      <c r="G8" s="10" t="s">
        <v>92</v>
      </c>
      <c r="H8" s="10"/>
      <c r="I8" s="10" t="s">
        <v>13</v>
      </c>
      <c r="J8" s="10"/>
      <c r="K8" s="10" t="s">
        <v>14</v>
      </c>
      <c r="M8" s="10" t="s">
        <v>15</v>
      </c>
      <c r="O8" s="129"/>
      <c r="P8" s="129"/>
      <c r="Q8" s="129"/>
      <c r="R8" s="129"/>
      <c r="S8" s="129"/>
      <c r="T8" s="129"/>
      <c r="U8" s="129"/>
      <c r="AC8" s="161">
        <f>AG8+AI8</f>
        <v>-5</v>
      </c>
      <c r="AD8" s="162"/>
      <c r="AE8" s="163"/>
      <c r="AF8" s="10"/>
      <c r="AG8" s="7">
        <f>I10</f>
        <v>-5</v>
      </c>
      <c r="AH8" s="10"/>
      <c r="AI8" s="125"/>
      <c r="AJ8" s="126"/>
      <c r="AK8" s="127"/>
    </row>
    <row r="9" spans="1:37" x14ac:dyDescent="0.2">
      <c r="A9" s="148" t="s">
        <v>7</v>
      </c>
      <c r="B9" s="148"/>
      <c r="C9" s="148"/>
      <c r="E9" s="11"/>
      <c r="F9" s="45"/>
      <c r="G9" s="46">
        <f>IF(K9="",((VLOOKUP(U3,DATA!A30:G43,2,FALSE))+E9)+VLOOKUP(AG3,DATA!A46:G61,2,FALSE),K9)</f>
        <v>0</v>
      </c>
      <c r="I9" s="8">
        <f>IF(M9="",(DATA!C2)-(1*AC14),M9)</f>
        <v>-5</v>
      </c>
      <c r="K9" s="16"/>
      <c r="M9" s="16"/>
      <c r="O9" s="129"/>
      <c r="P9" s="129"/>
      <c r="Q9" s="129"/>
      <c r="R9" s="129"/>
      <c r="S9" s="129"/>
      <c r="T9" s="129"/>
      <c r="U9" s="129"/>
      <c r="W9" s="105" t="s">
        <v>115</v>
      </c>
      <c r="X9" s="105"/>
      <c r="Y9" s="105"/>
      <c r="Z9" s="105"/>
      <c r="AA9" s="105"/>
      <c r="AB9" s="105"/>
      <c r="AC9" s="105"/>
      <c r="AD9" s="105"/>
      <c r="AE9" s="105"/>
      <c r="AF9" s="105"/>
      <c r="AG9" s="105"/>
    </row>
    <row r="10" spans="1:37" x14ac:dyDescent="0.2">
      <c r="A10" s="148" t="s">
        <v>8</v>
      </c>
      <c r="B10" s="148"/>
      <c r="C10" s="148"/>
      <c r="E10" s="11"/>
      <c r="F10" s="45"/>
      <c r="G10" s="46">
        <f>IF(K10="",((VLOOKUP(U3,DATA!A30:G43,3,FALSE))+E10)+VLOOKUP(AG3,DATA!A46:G61,3,FALSE),K10)</f>
        <v>0</v>
      </c>
      <c r="I10" s="8">
        <f>IF(M10="",(DATA!C3)-(1*AC14),M10)</f>
        <v>-5</v>
      </c>
      <c r="K10" s="16"/>
      <c r="M10" s="16"/>
      <c r="O10" s="129"/>
      <c r="P10" s="129"/>
      <c r="Q10" s="129"/>
      <c r="R10" s="129"/>
      <c r="S10" s="129"/>
      <c r="T10" s="129"/>
      <c r="U10" s="129"/>
      <c r="AA10" s="107" t="s">
        <v>117</v>
      </c>
      <c r="AB10" s="107"/>
      <c r="AC10" s="107"/>
      <c r="AE10" s="107" t="s">
        <v>118</v>
      </c>
      <c r="AF10" s="107"/>
      <c r="AG10" s="107"/>
      <c r="AI10" s="107" t="s">
        <v>119</v>
      </c>
      <c r="AJ10" s="107"/>
      <c r="AK10" s="107"/>
    </row>
    <row r="11" spans="1:37" x14ac:dyDescent="0.2">
      <c r="A11" s="148" t="s">
        <v>9</v>
      </c>
      <c r="B11" s="148"/>
      <c r="C11" s="148"/>
      <c r="E11" s="11"/>
      <c r="F11" s="45"/>
      <c r="G11" s="46">
        <f>IF(K11="",((VLOOKUP(U3,DATA!A30:G43,4,FALSE))+E11)+VLOOKUP(AG3,DATA!A46:G61,4,FALSE),K11)</f>
        <v>0</v>
      </c>
      <c r="I11" s="8">
        <f>IF(M11="",(DATA!C4)-(1*AC14),M11)</f>
        <v>-5</v>
      </c>
      <c r="K11" s="16"/>
      <c r="M11" s="16"/>
      <c r="O11" s="129"/>
      <c r="P11" s="129"/>
      <c r="Q11" s="129"/>
      <c r="R11" s="129"/>
      <c r="S11" s="129"/>
      <c r="T11" s="129"/>
      <c r="U11" s="129"/>
      <c r="W11" s="121" t="s">
        <v>113</v>
      </c>
      <c r="X11" s="121"/>
      <c r="Y11" s="121"/>
      <c r="AA11" s="133">
        <f>(((VLOOKUP(E3,DATA!A11:X23,22,FALSE))+I11)*O3)-(AC14*4)</f>
        <v>1</v>
      </c>
      <c r="AB11" s="134"/>
      <c r="AC11" s="135"/>
      <c r="AE11" s="133">
        <f>((VLOOKUP(E3,DATA!A11:X23,23,FALSE)*O3))+(VLOOKUP(U3,DATA!A30:I43,9,FALSE))-(AC14*5)</f>
        <v>10</v>
      </c>
      <c r="AF11" s="134"/>
      <c r="AG11" s="135"/>
      <c r="AI11" s="133">
        <f>(IF(O3=1,1,ROUNDDOWN((O3/2),0)))+VLOOKUP(Y5,A9:I14,9,FALSE)</f>
        <v>-4</v>
      </c>
      <c r="AJ11" s="134"/>
      <c r="AK11" s="135"/>
    </row>
    <row r="12" spans="1:37" x14ac:dyDescent="0.2">
      <c r="A12" s="148" t="s">
        <v>10</v>
      </c>
      <c r="B12" s="148"/>
      <c r="C12" s="148"/>
      <c r="E12" s="11"/>
      <c r="F12" s="45"/>
      <c r="G12" s="46">
        <f>IF(K12="",((VLOOKUP(U3,DATA!A30:G43,5,FALSE))+E12)+VLOOKUP(AG3,DATA!A46:G61,5,FALSE),K12)</f>
        <v>0</v>
      </c>
      <c r="I12" s="8">
        <f>IF(M12="",(DATA!C5)-(1*AC14),M12)</f>
        <v>-5</v>
      </c>
      <c r="K12" s="16"/>
      <c r="M12" s="16"/>
      <c r="O12" s="129"/>
      <c r="P12" s="129"/>
      <c r="Q12" s="129"/>
      <c r="R12" s="129"/>
      <c r="S12" s="129"/>
      <c r="T12" s="129"/>
      <c r="U12" s="129"/>
      <c r="W12" s="121" t="s">
        <v>116</v>
      </c>
      <c r="X12" s="121"/>
      <c r="Y12" s="121"/>
      <c r="AA12" s="136"/>
      <c r="AB12" s="102"/>
      <c r="AC12" s="137"/>
      <c r="AE12" s="136"/>
      <c r="AF12" s="102"/>
      <c r="AG12" s="137"/>
      <c r="AI12" s="136"/>
      <c r="AJ12" s="102"/>
      <c r="AK12" s="137"/>
    </row>
    <row r="13" spans="1:37" x14ac:dyDescent="0.2">
      <c r="A13" s="148" t="s">
        <v>11</v>
      </c>
      <c r="B13" s="148"/>
      <c r="C13" s="148"/>
      <c r="E13" s="11"/>
      <c r="F13" s="45"/>
      <c r="G13" s="46">
        <f>IF(K13="",((VLOOKUP(U3,DATA!A30:G43,6,FALSE))+E13)+VLOOKUP(AG3,DATA!A46:G61,6,FALSE),K13)</f>
        <v>0</v>
      </c>
      <c r="I13" s="8">
        <f>IF(M13="",(DATA!C6)-(1*AC14),M13)</f>
        <v>-5</v>
      </c>
      <c r="K13" s="16"/>
      <c r="M13" s="16"/>
      <c r="O13" s="129"/>
      <c r="P13" s="129"/>
      <c r="Q13" s="129"/>
      <c r="R13" s="129"/>
      <c r="S13" s="129"/>
      <c r="T13" s="129"/>
      <c r="U13" s="129"/>
      <c r="W13" s="107" t="str">
        <f>IF(AC14&gt;=O3,"DEAD",IF(G11&lt;=0,"DEAD",IF(AE12&lt;=(AE11*-1),"DEAD",IF(AE12&lt;1,"UNCONSCIOUS OR DYING",IF(G9&lt;=0,"UNCONSCIOUS",IF(G10&lt;=0,"UNCONSCIOUS",IF(G12&lt;=0,"UNCONSCIOUS",IF(G13&lt;=0,"UNCONSCIOUS",IF(G14&lt;=0,"UNCONSCIOUS","UPRIGHT AND MOVING")))))))))</f>
        <v>DEAD</v>
      </c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7" x14ac:dyDescent="0.2">
      <c r="A14" s="148" t="s">
        <v>12</v>
      </c>
      <c r="B14" s="148"/>
      <c r="C14" s="148"/>
      <c r="E14" s="11"/>
      <c r="F14" s="45"/>
      <c r="G14" s="46">
        <f>IF(K14="",((VLOOKUP(U3,DATA!A30:G43,7,FALSE))+E14)+VLOOKUP(AG3,DATA!A46:G61,7,FALSE),K14)</f>
        <v>1</v>
      </c>
      <c r="I14" s="8">
        <f>IF(M14="",(DATA!C7)-(1*AC14),M14)</f>
        <v>-5</v>
      </c>
      <c r="K14" s="16"/>
      <c r="M14" s="16"/>
      <c r="O14" s="129"/>
      <c r="P14" s="129"/>
      <c r="Q14" s="129"/>
      <c r="R14" s="129"/>
      <c r="S14" s="129"/>
      <c r="T14" s="129"/>
      <c r="U14" s="129"/>
      <c r="W14" s="107" t="s">
        <v>186</v>
      </c>
      <c r="X14" s="107"/>
      <c r="Y14" s="107"/>
      <c r="Z14" s="107"/>
      <c r="AA14" s="107"/>
      <c r="AB14" s="13"/>
      <c r="AC14" s="11"/>
      <c r="AD14" s="13"/>
      <c r="AE14" s="13"/>
      <c r="AF14" s="13"/>
      <c r="AG14" s="13"/>
      <c r="AH14" s="13"/>
      <c r="AI14" s="13"/>
      <c r="AJ14" s="13"/>
      <c r="AK14" s="13"/>
    </row>
    <row r="15" spans="1:37" x14ac:dyDescent="0.2">
      <c r="A15" s="172" t="s">
        <v>185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W15" s="105" t="s">
        <v>121</v>
      </c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</row>
    <row r="16" spans="1:37" x14ac:dyDescent="0.2">
      <c r="A16" s="105" t="s">
        <v>17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M16" s="107" t="s">
        <v>41</v>
      </c>
      <c r="N16" s="107"/>
      <c r="O16" s="107"/>
      <c r="P16" s="107"/>
      <c r="Q16" s="107"/>
      <c r="S16" s="158">
        <f>(VLOOKUP(E3,DATA!A11:X23,23,FALSE)+I12)</f>
        <v>1</v>
      </c>
      <c r="T16" s="158"/>
      <c r="U16" s="158"/>
      <c r="W16" s="10"/>
      <c r="X16" s="10"/>
      <c r="Y16" s="10"/>
      <c r="Z16" s="10"/>
      <c r="AA16" s="10"/>
      <c r="AB16" s="10"/>
      <c r="AC16" s="10" t="s">
        <v>113</v>
      </c>
      <c r="AD16" s="10"/>
      <c r="AE16" s="147" t="s">
        <v>122</v>
      </c>
      <c r="AF16" s="147"/>
      <c r="AG16" s="147"/>
      <c r="AH16" s="10"/>
      <c r="AI16" s="10" t="s">
        <v>8</v>
      </c>
      <c r="AJ16" s="10"/>
      <c r="AK16" s="10" t="s">
        <v>114</v>
      </c>
    </row>
    <row r="17" spans="1:37" x14ac:dyDescent="0.2">
      <c r="A17" s="14"/>
      <c r="B17" s="14"/>
      <c r="C17" s="159" t="s">
        <v>43</v>
      </c>
      <c r="D17" s="159"/>
      <c r="E17" s="159"/>
      <c r="F17" s="159"/>
      <c r="G17" s="159"/>
      <c r="H17" s="159"/>
      <c r="I17" s="159"/>
      <c r="J17" s="159"/>
      <c r="K17" s="159"/>
      <c r="M17" s="107" t="s">
        <v>42</v>
      </c>
      <c r="N17" s="107"/>
      <c r="O17" s="107"/>
      <c r="P17" s="107"/>
      <c r="Q17" s="107"/>
      <c r="S17" s="158">
        <f>((S16*O3)-SUM(O19:O33,O35,O37:O41))</f>
        <v>1</v>
      </c>
      <c r="T17" s="158"/>
      <c r="U17" s="158"/>
      <c r="W17" s="147" t="s">
        <v>126</v>
      </c>
      <c r="X17" s="147"/>
      <c r="Y17" s="147"/>
      <c r="Z17" s="147"/>
      <c r="AA17" s="147"/>
      <c r="AB17" s="10"/>
      <c r="AC17" s="54">
        <f>10+AE17+AI17+AK17+(VLOOKUP(E4,DATA!O29:P37,2,FALSE))</f>
        <v>5</v>
      </c>
      <c r="AD17" s="10"/>
      <c r="AE17" s="146">
        <f>AE56</f>
        <v>0</v>
      </c>
      <c r="AF17" s="146"/>
      <c r="AG17" s="146"/>
      <c r="AH17" s="10"/>
      <c r="AI17" s="7">
        <f>IF(DATA!Q44="",I10,IF(I10&gt;DATA!Q44,DATA!Q44,I10))</f>
        <v>-5</v>
      </c>
      <c r="AJ17" s="10"/>
      <c r="AK17" s="16"/>
    </row>
    <row r="18" spans="1:37" x14ac:dyDescent="0.2">
      <c r="A18" s="10" t="s">
        <v>20</v>
      </c>
      <c r="C18" s="160" t="s">
        <v>44</v>
      </c>
      <c r="D18" s="160"/>
      <c r="E18" s="160"/>
      <c r="F18" s="160"/>
      <c r="G18" s="160"/>
      <c r="H18" s="160"/>
      <c r="I18" s="160"/>
      <c r="J18" s="160"/>
      <c r="K18" s="160"/>
      <c r="M18" s="10" t="s">
        <v>18</v>
      </c>
      <c r="N18" s="10"/>
      <c r="O18" s="10" t="s">
        <v>19</v>
      </c>
      <c r="P18" s="10"/>
      <c r="Q18" s="10" t="s">
        <v>20</v>
      </c>
      <c r="R18" s="10"/>
      <c r="S18" s="10" t="s">
        <v>21</v>
      </c>
      <c r="T18" s="10"/>
      <c r="U18" s="10" t="s">
        <v>13</v>
      </c>
      <c r="W18" s="147" t="s">
        <v>125</v>
      </c>
      <c r="X18" s="147"/>
      <c r="Y18" s="147"/>
      <c r="Z18" s="147"/>
      <c r="AA18" s="147"/>
      <c r="AB18" s="10"/>
      <c r="AC18" s="54">
        <f>10+AE18+AI18+AK18+(VLOOKUP(E4,DATA!O29:P37,2,FALSE))</f>
        <v>5</v>
      </c>
      <c r="AD18" s="10"/>
      <c r="AE18" s="146">
        <f>AG56</f>
        <v>0</v>
      </c>
      <c r="AF18" s="146"/>
      <c r="AG18" s="146"/>
      <c r="AH18" s="10"/>
      <c r="AI18" s="7">
        <f>IF(DATA!Q44="",I10,IF(I10&gt;DATA!Q44,DATA!Q44,I10))</f>
        <v>-5</v>
      </c>
      <c r="AJ18" s="10"/>
      <c r="AK18" s="16"/>
    </row>
    <row r="19" spans="1:37" x14ac:dyDescent="0.2">
      <c r="A19" s="35" t="str">
        <f>VLOOKUP(E3,DATA!A11:U23,2,FALSE)</f>
        <v>y</v>
      </c>
      <c r="C19" s="143" t="s">
        <v>22</v>
      </c>
      <c r="D19" s="143"/>
      <c r="E19" s="143"/>
      <c r="F19" s="143"/>
      <c r="G19" s="143"/>
      <c r="H19" s="143"/>
      <c r="I19" s="143"/>
      <c r="J19" s="143"/>
      <c r="K19" s="143"/>
      <c r="M19" s="8">
        <f>O19+Q19+S19+U19+W58+DATA!R43</f>
        <v>-5</v>
      </c>
      <c r="N19" s="10"/>
      <c r="O19" s="16"/>
      <c r="P19" s="10"/>
      <c r="Q19" s="8">
        <f>IF(AND(OR(A19="y",A19="Y")*O19&gt;0),3,0)</f>
        <v>0</v>
      </c>
      <c r="R19" s="10"/>
      <c r="S19" s="8">
        <f>I10</f>
        <v>-5</v>
      </c>
      <c r="T19" s="10"/>
      <c r="U19" s="16"/>
      <c r="W19" s="147" t="s">
        <v>127</v>
      </c>
      <c r="X19" s="147"/>
      <c r="Y19" s="147"/>
      <c r="Z19" s="147"/>
      <c r="AA19" s="147"/>
      <c r="AB19" s="147"/>
      <c r="AC19" s="147"/>
      <c r="AD19" s="10"/>
      <c r="AE19" s="53">
        <f>8+AC18</f>
        <v>13</v>
      </c>
      <c r="AG19" s="52" t="s">
        <v>123</v>
      </c>
      <c r="AH19" s="10"/>
      <c r="AI19" s="10" t="s">
        <v>124</v>
      </c>
      <c r="AJ19" s="10"/>
      <c r="AK19" s="10"/>
    </row>
    <row r="20" spans="1:37" x14ac:dyDescent="0.2">
      <c r="A20" s="35" t="str">
        <f>VLOOKUP(E3,DATA!A11:U23,3,FALSE)</f>
        <v>y</v>
      </c>
      <c r="C20" s="144" t="s">
        <v>23</v>
      </c>
      <c r="D20" s="144"/>
      <c r="E20" s="144"/>
      <c r="F20" s="144"/>
      <c r="G20" s="144"/>
      <c r="H20" s="144"/>
      <c r="I20" s="144"/>
      <c r="J20" s="144"/>
      <c r="K20" s="144"/>
      <c r="M20" s="36">
        <f>O20+Q20+S20+U20+W58+DATA!R43</f>
        <v>-5</v>
      </c>
      <c r="N20" s="10"/>
      <c r="O20" s="16"/>
      <c r="P20" s="10"/>
      <c r="Q20" s="36">
        <f t="shared" ref="Q20:Q41" si="0">IF(AND(OR(A20="y",A20="Y")*O20&gt;0),3,0)</f>
        <v>0</v>
      </c>
      <c r="R20" s="10"/>
      <c r="S20" s="36">
        <f>I9</f>
        <v>-5</v>
      </c>
      <c r="T20" s="10"/>
      <c r="U20" s="16"/>
      <c r="W20" s="10" t="s">
        <v>128</v>
      </c>
      <c r="Y20" s="55"/>
      <c r="Z20" s="56"/>
      <c r="AA20" s="107" t="s">
        <v>129</v>
      </c>
      <c r="AB20" s="107"/>
      <c r="AC20" s="107"/>
      <c r="AE20" s="103"/>
      <c r="AF20" s="103"/>
      <c r="AG20" s="103"/>
      <c r="AH20" s="103"/>
      <c r="AI20" s="103"/>
      <c r="AJ20" s="103"/>
      <c r="AK20" s="103"/>
    </row>
    <row r="21" spans="1:37" x14ac:dyDescent="0.2">
      <c r="A21" s="35" t="str">
        <f>VLOOKUP(E3,DATA!A11:U23,4,FALSE)</f>
        <v>y</v>
      </c>
      <c r="C21" s="143" t="s">
        <v>24</v>
      </c>
      <c r="D21" s="143"/>
      <c r="E21" s="143"/>
      <c r="F21" s="143"/>
      <c r="G21" s="143"/>
      <c r="H21" s="143"/>
      <c r="I21" s="143"/>
      <c r="J21" s="143"/>
      <c r="K21" s="143"/>
      <c r="M21" s="8">
        <f t="shared" ref="M21:M33" si="1">O21+Q21+S21+U21</f>
        <v>-5</v>
      </c>
      <c r="N21" s="10"/>
      <c r="O21" s="16"/>
      <c r="P21" s="10"/>
      <c r="Q21" s="8">
        <f t="shared" si="0"/>
        <v>0</v>
      </c>
      <c r="R21" s="10"/>
      <c r="S21" s="8">
        <f>I14</f>
        <v>-5</v>
      </c>
      <c r="T21" s="10"/>
      <c r="U21" s="16"/>
    </row>
    <row r="22" spans="1:37" x14ac:dyDescent="0.2">
      <c r="A22" s="35" t="str">
        <f>VLOOKUP(E3,DATA!A11:U23,5,FALSE)</f>
        <v>y</v>
      </c>
      <c r="C22" s="144" t="s">
        <v>25</v>
      </c>
      <c r="D22" s="144"/>
      <c r="E22" s="144"/>
      <c r="F22" s="144"/>
      <c r="G22" s="144"/>
      <c r="H22" s="144"/>
      <c r="I22" s="144"/>
      <c r="J22" s="144"/>
      <c r="K22" s="144"/>
      <c r="M22" s="36">
        <f t="shared" si="1"/>
        <v>-5</v>
      </c>
      <c r="N22" s="10"/>
      <c r="O22" s="16"/>
      <c r="P22" s="10"/>
      <c r="Q22" s="36">
        <f t="shared" si="0"/>
        <v>0</v>
      </c>
      <c r="R22" s="10"/>
      <c r="S22" s="36">
        <f>I12</f>
        <v>-5</v>
      </c>
      <c r="T22" s="10"/>
      <c r="U22" s="16"/>
      <c r="W22" s="105" t="s">
        <v>130</v>
      </c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</row>
    <row r="23" spans="1:37" x14ac:dyDescent="0.2">
      <c r="A23" s="35" t="str">
        <f>VLOOKUP(E3,DATA!A11:U23,6,FALSE)</f>
        <v>y</v>
      </c>
      <c r="C23" s="143" t="s">
        <v>26</v>
      </c>
      <c r="D23" s="143"/>
      <c r="E23" s="143"/>
      <c r="F23" s="143"/>
      <c r="G23" s="143"/>
      <c r="H23" s="143"/>
      <c r="I23" s="143"/>
      <c r="J23" s="143"/>
      <c r="K23" s="143"/>
      <c r="M23" s="8">
        <f t="shared" si="1"/>
        <v>-5</v>
      </c>
      <c r="N23" s="10"/>
      <c r="O23" s="16"/>
      <c r="P23" s="10"/>
      <c r="Q23" s="8">
        <f t="shared" si="0"/>
        <v>0</v>
      </c>
      <c r="R23" s="10"/>
      <c r="S23" s="8">
        <f>I12</f>
        <v>-5</v>
      </c>
      <c r="T23" s="10"/>
      <c r="U23" s="16"/>
      <c r="AB23" s="107"/>
      <c r="AC23" s="107"/>
      <c r="AD23" s="107"/>
      <c r="AE23" s="107" t="s">
        <v>113</v>
      </c>
      <c r="AF23" s="107"/>
      <c r="AG23" s="107"/>
      <c r="AI23" s="10" t="s">
        <v>131</v>
      </c>
      <c r="AK23" s="9" t="s">
        <v>114</v>
      </c>
    </row>
    <row r="24" spans="1:37" x14ac:dyDescent="0.2">
      <c r="A24" s="35" t="str">
        <f>VLOOKUP(E3,DATA!A11:U23,7,FALSE)</f>
        <v>y</v>
      </c>
      <c r="C24" s="144" t="s">
        <v>27</v>
      </c>
      <c r="D24" s="144"/>
      <c r="E24" s="144"/>
      <c r="F24" s="144"/>
      <c r="G24" s="144"/>
      <c r="H24" s="144"/>
      <c r="I24" s="144"/>
      <c r="J24" s="144"/>
      <c r="K24" s="144"/>
      <c r="M24" s="36">
        <f t="shared" si="1"/>
        <v>-5</v>
      </c>
      <c r="N24" s="10"/>
      <c r="O24" s="16"/>
      <c r="P24" s="10"/>
      <c r="Q24" s="36">
        <f t="shared" si="0"/>
        <v>0</v>
      </c>
      <c r="R24" s="10"/>
      <c r="S24" s="36">
        <f>I14</f>
        <v>-5</v>
      </c>
      <c r="T24" s="10"/>
      <c r="U24" s="16"/>
      <c r="W24" s="107" t="s">
        <v>133</v>
      </c>
      <c r="X24" s="107"/>
      <c r="Y24" s="107"/>
      <c r="Z24" s="107"/>
      <c r="AA24" s="107"/>
      <c r="AB24" s="145" t="s">
        <v>161</v>
      </c>
      <c r="AC24" s="145"/>
      <c r="AD24" s="145"/>
      <c r="AE24" s="164">
        <f>AI24+I11+AK24</f>
        <v>-5</v>
      </c>
      <c r="AF24" s="165"/>
      <c r="AG24" s="166"/>
      <c r="AI24" s="7">
        <f>VLOOKUP(AB24,DATA!A64:B66,2,FALSE)</f>
        <v>0</v>
      </c>
      <c r="AK24" s="16"/>
    </row>
    <row r="25" spans="1:37" x14ac:dyDescent="0.2">
      <c r="A25" s="35" t="str">
        <f>VLOOKUP(E3,DATA!A11:U23,8,FALSE)</f>
        <v>y</v>
      </c>
      <c r="C25" s="143" t="s">
        <v>28</v>
      </c>
      <c r="D25" s="143"/>
      <c r="E25" s="143"/>
      <c r="F25" s="143"/>
      <c r="G25" s="143"/>
      <c r="H25" s="143"/>
      <c r="I25" s="143"/>
      <c r="J25" s="143"/>
      <c r="K25" s="143"/>
      <c r="M25" s="8">
        <f t="shared" si="1"/>
        <v>-5</v>
      </c>
      <c r="N25" s="10"/>
      <c r="O25" s="16"/>
      <c r="P25" s="10"/>
      <c r="Q25" s="8">
        <f t="shared" si="0"/>
        <v>0</v>
      </c>
      <c r="R25" s="10"/>
      <c r="S25" s="8">
        <f>I14</f>
        <v>-5</v>
      </c>
      <c r="T25" s="10"/>
      <c r="U25" s="16"/>
      <c r="W25" s="107" t="s">
        <v>134</v>
      </c>
      <c r="X25" s="107"/>
      <c r="Y25" s="107"/>
      <c r="Z25" s="107"/>
      <c r="AA25" s="107"/>
      <c r="AB25" s="145" t="s">
        <v>161</v>
      </c>
      <c r="AC25" s="145"/>
      <c r="AD25" s="145"/>
      <c r="AE25" s="164">
        <f>AI25+I10+AK25</f>
        <v>-3</v>
      </c>
      <c r="AF25" s="165"/>
      <c r="AG25" s="166"/>
      <c r="AI25" s="7">
        <f>VLOOKUP(AB25,DATA!D64:E66,2,FALSE)</f>
        <v>2</v>
      </c>
      <c r="AK25" s="16"/>
    </row>
    <row r="26" spans="1:37" x14ac:dyDescent="0.2">
      <c r="A26" s="35" t="str">
        <f>VLOOKUP(E3,DATA!A11:U23,9,FALSE)</f>
        <v>y</v>
      </c>
      <c r="C26" s="144" t="s">
        <v>29</v>
      </c>
      <c r="D26" s="144"/>
      <c r="E26" s="144"/>
      <c r="F26" s="144"/>
      <c r="G26" s="144"/>
      <c r="H26" s="144"/>
      <c r="I26" s="144"/>
      <c r="J26" s="144"/>
      <c r="K26" s="144"/>
      <c r="M26" s="36">
        <f t="shared" si="1"/>
        <v>-5</v>
      </c>
      <c r="N26" s="10"/>
      <c r="O26" s="16"/>
      <c r="P26" s="10"/>
      <c r="Q26" s="36">
        <f t="shared" si="0"/>
        <v>0</v>
      </c>
      <c r="R26" s="10"/>
      <c r="S26" s="36">
        <f>I12</f>
        <v>-5</v>
      </c>
      <c r="T26" s="10"/>
      <c r="U26" s="16"/>
      <c r="W26" s="107" t="s">
        <v>135</v>
      </c>
      <c r="X26" s="107"/>
      <c r="Y26" s="107"/>
      <c r="Z26" s="107"/>
      <c r="AA26" s="107"/>
      <c r="AB26" s="145" t="s">
        <v>161</v>
      </c>
      <c r="AC26" s="145"/>
      <c r="AD26" s="145"/>
      <c r="AE26" s="164">
        <f>AI26+I13+AK26</f>
        <v>-3</v>
      </c>
      <c r="AF26" s="165"/>
      <c r="AG26" s="166"/>
      <c r="AI26" s="7">
        <f>VLOOKUP(AB26,DATA!G64:H66,2,FALSE)</f>
        <v>2</v>
      </c>
      <c r="AK26" s="16"/>
    </row>
    <row r="27" spans="1:37" x14ac:dyDescent="0.2">
      <c r="A27" s="35" t="str">
        <f>VLOOKUP(E3,DATA!A11:U23,10,FALSE)</f>
        <v>y</v>
      </c>
      <c r="C27" s="143" t="s">
        <v>30</v>
      </c>
      <c r="D27" s="143"/>
      <c r="E27" s="143"/>
      <c r="F27" s="143"/>
      <c r="G27" s="143"/>
      <c r="H27" s="143"/>
      <c r="I27" s="143"/>
      <c r="J27" s="143"/>
      <c r="K27" s="143"/>
      <c r="M27" s="8">
        <f t="shared" si="1"/>
        <v>-5</v>
      </c>
      <c r="N27" s="10"/>
      <c r="O27" s="16"/>
      <c r="P27" s="10"/>
      <c r="Q27" s="8">
        <f t="shared" si="0"/>
        <v>0</v>
      </c>
      <c r="R27" s="10"/>
      <c r="S27" s="8">
        <f>I14</f>
        <v>-5</v>
      </c>
      <c r="T27" s="10"/>
      <c r="U27" s="16"/>
    </row>
    <row r="28" spans="1:37" x14ac:dyDescent="0.2">
      <c r="A28" s="35" t="str">
        <f>VLOOKUP(E3,DATA!A11:U23,11,FALSE)</f>
        <v>n</v>
      </c>
      <c r="C28" s="144" t="s">
        <v>31</v>
      </c>
      <c r="D28" s="144"/>
      <c r="E28" s="144"/>
      <c r="F28" s="144"/>
      <c r="G28" s="144"/>
      <c r="H28" s="144"/>
      <c r="I28" s="144"/>
      <c r="J28" s="144"/>
      <c r="K28" s="144"/>
      <c r="M28" s="36">
        <f t="shared" si="1"/>
        <v>-5</v>
      </c>
      <c r="N28" s="10"/>
      <c r="O28" s="16"/>
      <c r="P28" s="10"/>
      <c r="Q28" s="36">
        <f t="shared" si="0"/>
        <v>0</v>
      </c>
      <c r="R28" s="10"/>
      <c r="S28" s="36">
        <f>I12</f>
        <v>-5</v>
      </c>
      <c r="T28" s="10"/>
      <c r="U28" s="16"/>
      <c r="W28" s="105" t="s">
        <v>139</v>
      </c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I28" s="72"/>
    </row>
    <row r="29" spans="1:37" x14ac:dyDescent="0.2">
      <c r="A29" s="35" t="str">
        <f>VLOOKUP(E3,DATA!A11:U23,12,FALSE)</f>
        <v>y</v>
      </c>
      <c r="C29" s="143" t="s">
        <v>32</v>
      </c>
      <c r="D29" s="143"/>
      <c r="E29" s="143"/>
      <c r="F29" s="143"/>
      <c r="G29" s="143"/>
      <c r="H29" s="143"/>
      <c r="I29" s="143"/>
      <c r="J29" s="143"/>
      <c r="K29" s="143"/>
      <c r="M29" s="8">
        <f t="shared" si="1"/>
        <v>-5</v>
      </c>
      <c r="N29" s="10"/>
      <c r="O29" s="16"/>
      <c r="P29" s="10"/>
      <c r="Q29" s="8">
        <f t="shared" si="0"/>
        <v>0</v>
      </c>
      <c r="R29" s="10"/>
      <c r="S29" s="8">
        <f>I12</f>
        <v>-5</v>
      </c>
      <c r="T29" s="10"/>
      <c r="U29" s="16"/>
      <c r="W29" s="133" t="s">
        <v>206</v>
      </c>
      <c r="X29" s="134"/>
      <c r="Y29" s="134"/>
      <c r="Z29" s="134"/>
      <c r="AA29" s="134"/>
      <c r="AB29" s="64"/>
      <c r="AC29" s="48">
        <f>VLOOKUP(E4,DATA!O29:Q37,3,FALSE)</f>
        <v>5</v>
      </c>
      <c r="AE29" s="107" t="s">
        <v>113</v>
      </c>
      <c r="AF29" s="107"/>
      <c r="AG29" s="107"/>
      <c r="AI29" s="10" t="s">
        <v>140</v>
      </c>
      <c r="AJ29" s="10"/>
      <c r="AK29" s="10" t="s">
        <v>114</v>
      </c>
    </row>
    <row r="30" spans="1:37" x14ac:dyDescent="0.2">
      <c r="A30" s="35" t="str">
        <f>VLOOKUP(E3,DATA!A11:U23,13,FALSE)</f>
        <v>n</v>
      </c>
      <c r="C30" s="144" t="s">
        <v>33</v>
      </c>
      <c r="D30" s="144"/>
      <c r="E30" s="144"/>
      <c r="F30" s="144"/>
      <c r="G30" s="144"/>
      <c r="H30" s="144"/>
      <c r="I30" s="144"/>
      <c r="J30" s="144"/>
      <c r="K30" s="144"/>
      <c r="M30" s="36">
        <f t="shared" si="1"/>
        <v>-5</v>
      </c>
      <c r="N30" s="10"/>
      <c r="O30" s="16"/>
      <c r="P30" s="10"/>
      <c r="Q30" s="36">
        <f t="shared" si="0"/>
        <v>0</v>
      </c>
      <c r="R30" s="10"/>
      <c r="S30" s="36">
        <f>I13</f>
        <v>-5</v>
      </c>
      <c r="T30" s="10"/>
      <c r="U30" s="16"/>
      <c r="W30" s="107" t="s">
        <v>141</v>
      </c>
      <c r="X30" s="107"/>
      <c r="Y30" s="107"/>
      <c r="Z30" s="107"/>
      <c r="AA30" s="107"/>
      <c r="AB30" s="107"/>
      <c r="AC30" s="107"/>
      <c r="AE30" s="173">
        <f>AI30+AK30+I9</f>
        <v>-5</v>
      </c>
      <c r="AF30" s="173"/>
      <c r="AG30" s="173"/>
      <c r="AI30" s="7">
        <f>VLOOKUP(E3,DATA!A11:AB23,28,FALSE)</f>
        <v>0</v>
      </c>
      <c r="AK30" s="16"/>
    </row>
    <row r="31" spans="1:37" x14ac:dyDescent="0.2">
      <c r="A31" s="35" t="str">
        <f>VLOOKUP(E3,DATA!A11:U23,14,FALSE)</f>
        <v>y</v>
      </c>
      <c r="C31" s="143" t="s">
        <v>34</v>
      </c>
      <c r="D31" s="143"/>
      <c r="E31" s="143"/>
      <c r="F31" s="143"/>
      <c r="G31" s="143"/>
      <c r="H31" s="143"/>
      <c r="I31" s="143"/>
      <c r="J31" s="143"/>
      <c r="K31" s="143"/>
      <c r="M31" s="8">
        <f t="shared" si="1"/>
        <v>-5</v>
      </c>
      <c r="N31" s="10"/>
      <c r="O31" s="16"/>
      <c r="P31" s="10"/>
      <c r="Q31" s="8">
        <f t="shared" si="0"/>
        <v>0</v>
      </c>
      <c r="R31" s="10"/>
      <c r="S31" s="8">
        <f>I13</f>
        <v>-5</v>
      </c>
      <c r="T31" s="10"/>
      <c r="U31" s="16"/>
      <c r="W31" s="107" t="s">
        <v>142</v>
      </c>
      <c r="X31" s="107"/>
      <c r="Y31" s="107"/>
      <c r="Z31" s="107"/>
      <c r="AA31" s="107"/>
      <c r="AB31" s="107"/>
      <c r="AC31" s="107"/>
      <c r="AE31" s="173">
        <f>AI31+AK31+I10</f>
        <v>-5</v>
      </c>
      <c r="AF31" s="173"/>
      <c r="AG31" s="173"/>
      <c r="AI31" s="7">
        <f>AI30</f>
        <v>0</v>
      </c>
      <c r="AK31" s="16"/>
    </row>
    <row r="32" spans="1:37" x14ac:dyDescent="0.2">
      <c r="A32" s="35" t="str">
        <f>VLOOKUP(E3,DATA!A11:U23,15,FALSE)</f>
        <v>n</v>
      </c>
      <c r="C32" s="144" t="s">
        <v>35</v>
      </c>
      <c r="D32" s="144"/>
      <c r="E32" s="144"/>
      <c r="F32" s="144"/>
      <c r="G32" s="144"/>
      <c r="H32" s="144"/>
      <c r="I32" s="144"/>
      <c r="J32" s="144"/>
      <c r="K32" s="144"/>
      <c r="M32" s="36">
        <f t="shared" si="1"/>
        <v>-5</v>
      </c>
      <c r="N32" s="10"/>
      <c r="O32" s="16"/>
      <c r="P32" s="10"/>
      <c r="Q32" s="36">
        <f t="shared" si="0"/>
        <v>0</v>
      </c>
      <c r="R32" s="10"/>
      <c r="S32" s="36">
        <f>I12</f>
        <v>-5</v>
      </c>
      <c r="T32" s="10"/>
      <c r="U32" s="16"/>
      <c r="W32" s="107" t="s">
        <v>143</v>
      </c>
      <c r="X32" s="107"/>
      <c r="Y32" s="107"/>
      <c r="Z32" s="107"/>
      <c r="AA32" s="107"/>
      <c r="AB32" s="107"/>
      <c r="AC32" s="107"/>
      <c r="AE32" s="173">
        <f>AI32+AK32+I9</f>
        <v>-5</v>
      </c>
      <c r="AF32" s="173"/>
      <c r="AG32" s="173"/>
      <c r="AI32" s="7">
        <f>AI30</f>
        <v>0</v>
      </c>
      <c r="AK32" s="16"/>
    </row>
    <row r="33" spans="1:37" x14ac:dyDescent="0.2">
      <c r="A33" s="35" t="str">
        <f>VLOOKUP(E3,DATA!A11:U23,16,FALSE)</f>
        <v>y</v>
      </c>
      <c r="C33" s="143" t="s">
        <v>36</v>
      </c>
      <c r="D33" s="143"/>
      <c r="E33" s="143"/>
      <c r="F33" s="143"/>
      <c r="G33" s="143"/>
      <c r="H33" s="143"/>
      <c r="I33" s="143"/>
      <c r="J33" s="143"/>
      <c r="K33" s="143"/>
      <c r="M33" s="8">
        <f t="shared" si="1"/>
        <v>-5</v>
      </c>
      <c r="N33" s="10"/>
      <c r="O33" s="16"/>
      <c r="P33" s="10"/>
      <c r="Q33" s="8">
        <f t="shared" si="0"/>
        <v>0</v>
      </c>
      <c r="R33" s="10"/>
      <c r="S33" s="8">
        <f>I10</f>
        <v>-5</v>
      </c>
      <c r="T33" s="10"/>
      <c r="U33" s="16"/>
      <c r="W33" s="105" t="s">
        <v>187</v>
      </c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</row>
    <row r="34" spans="1:37" x14ac:dyDescent="0.2">
      <c r="A34" s="17"/>
      <c r="C34" s="149" t="s">
        <v>73</v>
      </c>
      <c r="D34" s="149"/>
      <c r="E34" s="149"/>
      <c r="F34" s="149"/>
      <c r="G34" s="149"/>
      <c r="H34" s="149"/>
      <c r="I34" s="149"/>
      <c r="J34" s="149"/>
      <c r="K34" s="149"/>
      <c r="M34" s="15"/>
      <c r="N34" s="10"/>
      <c r="O34" s="17"/>
      <c r="P34" s="10"/>
      <c r="Q34" s="15"/>
      <c r="R34" s="10"/>
      <c r="S34" s="15"/>
      <c r="T34" s="10"/>
      <c r="U34" s="17"/>
      <c r="W34" s="142" t="s">
        <v>191</v>
      </c>
      <c r="X34" s="142"/>
      <c r="Y34" s="142"/>
      <c r="Z34" s="142"/>
      <c r="AA34" s="142"/>
      <c r="AC34" s="49" t="s">
        <v>190</v>
      </c>
      <c r="AE34" s="107" t="s">
        <v>189</v>
      </c>
      <c r="AF34" s="107"/>
      <c r="AG34" s="107"/>
      <c r="AI34" s="107" t="s">
        <v>188</v>
      </c>
      <c r="AJ34" s="107"/>
      <c r="AK34" s="107"/>
    </row>
    <row r="35" spans="1:37" x14ac:dyDescent="0.2">
      <c r="A35" s="35" t="str">
        <f>VLOOKUP(E3,DATA!A11:U23,17,FALSE)</f>
        <v>y</v>
      </c>
      <c r="C35" s="149"/>
      <c r="D35" s="149"/>
      <c r="E35" s="149"/>
      <c r="F35" s="149"/>
      <c r="G35" s="149"/>
      <c r="H35" s="149"/>
      <c r="I35" s="149"/>
      <c r="J35" s="149"/>
      <c r="K35" s="149"/>
      <c r="M35" s="8">
        <f>O35+Q35+S35+U35</f>
        <v>-5</v>
      </c>
      <c r="N35" s="10"/>
      <c r="O35" s="16"/>
      <c r="P35" s="10"/>
      <c r="Q35" s="8">
        <f t="shared" si="0"/>
        <v>0</v>
      </c>
      <c r="R35" s="10"/>
      <c r="S35" s="35">
        <f>VLOOKUP(C34,DATA!A24:B26,2,FALSE)</f>
        <v>-5</v>
      </c>
      <c r="T35" s="10"/>
      <c r="U35" s="16"/>
      <c r="W35" s="139"/>
      <c r="X35" s="140"/>
      <c r="Y35" s="140"/>
      <c r="Z35" s="140"/>
      <c r="AA35" s="141"/>
      <c r="AC35" s="51"/>
      <c r="AE35" s="125"/>
      <c r="AF35" s="126"/>
      <c r="AG35" s="127"/>
      <c r="AI35" s="125"/>
      <c r="AJ35" s="126"/>
      <c r="AK35" s="127"/>
    </row>
    <row r="36" spans="1:37" x14ac:dyDescent="0.2">
      <c r="A36" s="17"/>
      <c r="C36" s="149" t="s">
        <v>72</v>
      </c>
      <c r="D36" s="149"/>
      <c r="E36" s="149"/>
      <c r="F36" s="149"/>
      <c r="G36" s="149"/>
      <c r="H36" s="149"/>
      <c r="I36" s="149"/>
      <c r="J36" s="149"/>
      <c r="K36" s="149"/>
      <c r="M36" s="15"/>
      <c r="N36" s="10"/>
      <c r="O36" s="17"/>
      <c r="P36" s="10"/>
      <c r="Q36" s="15"/>
      <c r="R36" s="10"/>
      <c r="S36" s="15"/>
      <c r="T36" s="10"/>
      <c r="U36" s="17"/>
      <c r="W36" s="107" t="s">
        <v>192</v>
      </c>
      <c r="X36" s="107"/>
      <c r="Y36" s="107"/>
      <c r="Z36" s="107" t="s">
        <v>193</v>
      </c>
      <c r="AA36" s="107"/>
      <c r="AB36" s="107"/>
      <c r="AC36" s="9" t="s">
        <v>194</v>
      </c>
      <c r="AE36" s="107" t="s">
        <v>195</v>
      </c>
      <c r="AF36" s="107"/>
      <c r="AG36" s="107"/>
      <c r="AI36" s="107" t="s">
        <v>196</v>
      </c>
      <c r="AJ36" s="107"/>
      <c r="AK36" s="107"/>
    </row>
    <row r="37" spans="1:37" x14ac:dyDescent="0.2">
      <c r="A37" s="35" t="str">
        <f>VLOOKUP(E3,DATA!A11:U23,17,FALSE)</f>
        <v>y</v>
      </c>
      <c r="C37" s="149"/>
      <c r="D37" s="149"/>
      <c r="E37" s="149"/>
      <c r="F37" s="149"/>
      <c r="G37" s="149"/>
      <c r="H37" s="149"/>
      <c r="I37" s="149"/>
      <c r="J37" s="149"/>
      <c r="K37" s="149"/>
      <c r="M37" s="8">
        <f>O37+Q37+S37+U37</f>
        <v>-5</v>
      </c>
      <c r="N37" s="10"/>
      <c r="O37" s="16"/>
      <c r="P37" s="10"/>
      <c r="Q37" s="8">
        <f t="shared" si="0"/>
        <v>0</v>
      </c>
      <c r="R37" s="10"/>
      <c r="S37" s="35">
        <f>VLOOKUP(C36,DATA!A24:B26,2,FALSE)</f>
        <v>-5</v>
      </c>
      <c r="T37" s="10"/>
      <c r="U37" s="16"/>
      <c r="W37" s="136"/>
      <c r="X37" s="102"/>
      <c r="Y37" s="137"/>
      <c r="AA37" s="12"/>
      <c r="AC37" s="12"/>
      <c r="AE37" s="12"/>
      <c r="AG37" s="12"/>
      <c r="AI37" s="136"/>
      <c r="AJ37" s="102"/>
      <c r="AK37" s="137"/>
    </row>
    <row r="38" spans="1:37" x14ac:dyDescent="0.2">
      <c r="A38" s="35" t="str">
        <f>VLOOKUP(E3,DATA!A11:U23,18,FALSE)</f>
        <v>y</v>
      </c>
      <c r="C38" s="143" t="s">
        <v>37</v>
      </c>
      <c r="D38" s="143"/>
      <c r="E38" s="143"/>
      <c r="F38" s="143"/>
      <c r="G38" s="143"/>
      <c r="H38" s="143"/>
      <c r="I38" s="143"/>
      <c r="J38" s="143"/>
      <c r="K38" s="143"/>
      <c r="M38" s="8">
        <f t="shared" ref="M38:M41" si="2">O38+Q38+S38+U38</f>
        <v>-5</v>
      </c>
      <c r="N38" s="10"/>
      <c r="O38" s="16"/>
      <c r="P38" s="10"/>
      <c r="Q38" s="8">
        <f t="shared" si="0"/>
        <v>0</v>
      </c>
      <c r="R38" s="10"/>
      <c r="S38" s="8">
        <f>I13</f>
        <v>-5</v>
      </c>
      <c r="T38" s="10"/>
      <c r="U38" s="16"/>
      <c r="W38" s="142" t="s">
        <v>191</v>
      </c>
      <c r="X38" s="142"/>
      <c r="Y38" s="142"/>
      <c r="Z38" s="142"/>
      <c r="AA38" s="142"/>
      <c r="AC38" s="49" t="s">
        <v>190</v>
      </c>
      <c r="AE38" s="107" t="s">
        <v>189</v>
      </c>
      <c r="AF38" s="107"/>
      <c r="AG38" s="107"/>
      <c r="AI38" s="107" t="s">
        <v>188</v>
      </c>
      <c r="AJ38" s="107"/>
      <c r="AK38" s="107"/>
    </row>
    <row r="39" spans="1:37" x14ac:dyDescent="0.2">
      <c r="A39" s="35" t="str">
        <f>VLOOKUP(E3,DATA!A11:U23,19,FALSE)</f>
        <v>y</v>
      </c>
      <c r="C39" s="144" t="s">
        <v>39</v>
      </c>
      <c r="D39" s="144"/>
      <c r="E39" s="144"/>
      <c r="F39" s="144"/>
      <c r="G39" s="144"/>
      <c r="H39" s="144"/>
      <c r="I39" s="144"/>
      <c r="J39" s="144"/>
      <c r="K39" s="144"/>
      <c r="M39" s="36">
        <f>O39+Q39+S39+U39+W58+DATA!R43</f>
        <v>-5</v>
      </c>
      <c r="N39" s="10"/>
      <c r="O39" s="16"/>
      <c r="P39" s="10"/>
      <c r="Q39" s="36">
        <f t="shared" si="0"/>
        <v>0</v>
      </c>
      <c r="R39" s="10"/>
      <c r="S39" s="36">
        <f>I10</f>
        <v>-5</v>
      </c>
      <c r="T39" s="10"/>
      <c r="U39" s="16"/>
      <c r="W39" s="139"/>
      <c r="X39" s="140"/>
      <c r="Y39" s="140"/>
      <c r="Z39" s="140"/>
      <c r="AA39" s="141"/>
      <c r="AC39" s="51"/>
      <c r="AE39" s="125"/>
      <c r="AF39" s="126"/>
      <c r="AG39" s="127"/>
      <c r="AI39" s="125"/>
      <c r="AJ39" s="126"/>
      <c r="AK39" s="127"/>
    </row>
    <row r="40" spans="1:37" x14ac:dyDescent="0.2">
      <c r="A40" s="35" t="str">
        <f>VLOOKUP(E3,DATA!A11:U23,20,FALSE)</f>
        <v>n</v>
      </c>
      <c r="C40" s="143" t="s">
        <v>40</v>
      </c>
      <c r="D40" s="143"/>
      <c r="E40" s="143"/>
      <c r="F40" s="143"/>
      <c r="G40" s="143"/>
      <c r="H40" s="143"/>
      <c r="I40" s="143"/>
      <c r="J40" s="143"/>
      <c r="K40" s="143"/>
      <c r="M40" s="8">
        <f>O40+Q40+S40+U40+W58+DATA!R43</f>
        <v>-5</v>
      </c>
      <c r="N40" s="10"/>
      <c r="O40" s="16"/>
      <c r="P40" s="10"/>
      <c r="Q40" s="8">
        <f t="shared" si="0"/>
        <v>0</v>
      </c>
      <c r="R40" s="10"/>
      <c r="S40" s="8">
        <f>I10</f>
        <v>-5</v>
      </c>
      <c r="T40" s="10"/>
      <c r="U40" s="16"/>
      <c r="W40" s="107" t="s">
        <v>192</v>
      </c>
      <c r="X40" s="107"/>
      <c r="Y40" s="107"/>
      <c r="Z40" s="107" t="s">
        <v>193</v>
      </c>
      <c r="AA40" s="107"/>
      <c r="AB40" s="107"/>
      <c r="AC40" s="9" t="s">
        <v>194</v>
      </c>
      <c r="AE40" s="107" t="s">
        <v>195</v>
      </c>
      <c r="AF40" s="107"/>
      <c r="AG40" s="107"/>
      <c r="AI40" s="107" t="s">
        <v>196</v>
      </c>
      <c r="AJ40" s="107"/>
      <c r="AK40" s="107"/>
    </row>
    <row r="41" spans="1:37" x14ac:dyDescent="0.2">
      <c r="A41" s="35" t="str">
        <f>VLOOKUP(E3,DATA!A11:U23,21,FALSE)</f>
        <v>y</v>
      </c>
      <c r="C41" s="144" t="s">
        <v>38</v>
      </c>
      <c r="D41" s="144"/>
      <c r="E41" s="144"/>
      <c r="F41" s="144"/>
      <c r="G41" s="144"/>
      <c r="H41" s="144"/>
      <c r="I41" s="144"/>
      <c r="J41" s="144"/>
      <c r="K41" s="144"/>
      <c r="M41" s="36">
        <f t="shared" si="2"/>
        <v>-5</v>
      </c>
      <c r="N41" s="10"/>
      <c r="O41" s="16"/>
      <c r="P41" s="10"/>
      <c r="Q41" s="36">
        <f t="shared" si="0"/>
        <v>0</v>
      </c>
      <c r="R41" s="10"/>
      <c r="S41" s="36">
        <f>I13</f>
        <v>-5</v>
      </c>
      <c r="T41" s="10"/>
      <c r="U41" s="16"/>
      <c r="W41" s="136"/>
      <c r="X41" s="102"/>
      <c r="Y41" s="137"/>
      <c r="AA41" s="12"/>
      <c r="AC41" s="12"/>
      <c r="AE41" s="12"/>
      <c r="AG41" s="12"/>
      <c r="AI41" s="136"/>
      <c r="AJ41" s="102"/>
      <c r="AK41" s="137"/>
    </row>
    <row r="42" spans="1:37" x14ac:dyDescent="0.2">
      <c r="A42" s="171" t="s">
        <v>184</v>
      </c>
      <c r="B42" s="171"/>
      <c r="C42" s="171"/>
      <c r="D42" s="60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W42" s="142" t="s">
        <v>191</v>
      </c>
      <c r="X42" s="142"/>
      <c r="Y42" s="142"/>
      <c r="Z42" s="142"/>
      <c r="AA42" s="142"/>
      <c r="AC42" s="49" t="s">
        <v>190</v>
      </c>
      <c r="AE42" s="107" t="s">
        <v>189</v>
      </c>
      <c r="AF42" s="107"/>
      <c r="AG42" s="107"/>
      <c r="AI42" s="107" t="s">
        <v>188</v>
      </c>
      <c r="AJ42" s="107"/>
      <c r="AK42" s="107"/>
    </row>
    <row r="43" spans="1:37" x14ac:dyDescent="0.2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W43" s="139"/>
      <c r="X43" s="140"/>
      <c r="Y43" s="140"/>
      <c r="Z43" s="140"/>
      <c r="AA43" s="141"/>
      <c r="AC43" s="51"/>
      <c r="AE43" s="125"/>
      <c r="AF43" s="126"/>
      <c r="AG43" s="127"/>
      <c r="AI43" s="125"/>
      <c r="AJ43" s="126"/>
      <c r="AK43" s="127"/>
    </row>
    <row r="44" spans="1:37" x14ac:dyDescent="0.2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W44" s="107" t="s">
        <v>192</v>
      </c>
      <c r="X44" s="107"/>
      <c r="Y44" s="107"/>
      <c r="Z44" s="107" t="s">
        <v>193</v>
      </c>
      <c r="AA44" s="107"/>
      <c r="AB44" s="107"/>
      <c r="AC44" s="9" t="s">
        <v>194</v>
      </c>
      <c r="AE44" s="107" t="s">
        <v>195</v>
      </c>
      <c r="AF44" s="107"/>
      <c r="AG44" s="107"/>
      <c r="AI44" s="107" t="s">
        <v>196</v>
      </c>
      <c r="AJ44" s="107"/>
      <c r="AK44" s="107"/>
    </row>
    <row r="45" spans="1:37" x14ac:dyDescent="0.2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W45" s="136"/>
      <c r="X45" s="102"/>
      <c r="Y45" s="137"/>
      <c r="AA45" s="12"/>
      <c r="AC45" s="12"/>
      <c r="AE45" s="12"/>
      <c r="AG45" s="12"/>
      <c r="AI45" s="136"/>
      <c r="AJ45" s="102"/>
      <c r="AK45" s="137"/>
    </row>
    <row r="46" spans="1:37" x14ac:dyDescent="0.2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W46" s="142" t="s">
        <v>191</v>
      </c>
      <c r="X46" s="142"/>
      <c r="Y46" s="142"/>
      <c r="Z46" s="142"/>
      <c r="AA46" s="142"/>
      <c r="AC46" s="49" t="s">
        <v>190</v>
      </c>
      <c r="AE46" s="107" t="s">
        <v>189</v>
      </c>
      <c r="AF46" s="107"/>
      <c r="AG46" s="107"/>
      <c r="AI46" s="107" t="s">
        <v>188</v>
      </c>
      <c r="AJ46" s="107"/>
      <c r="AK46" s="107"/>
    </row>
    <row r="47" spans="1:37" x14ac:dyDescent="0.2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W47" s="139"/>
      <c r="X47" s="140"/>
      <c r="Y47" s="140"/>
      <c r="Z47" s="140"/>
      <c r="AA47" s="141"/>
      <c r="AC47" s="51"/>
      <c r="AE47" s="125"/>
      <c r="AF47" s="126"/>
      <c r="AG47" s="127"/>
      <c r="AI47" s="125"/>
      <c r="AJ47" s="126"/>
      <c r="AK47" s="127"/>
    </row>
    <row r="48" spans="1:37" x14ac:dyDescent="0.2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W48" s="107" t="s">
        <v>192</v>
      </c>
      <c r="X48" s="107"/>
      <c r="Y48" s="107"/>
      <c r="Z48" s="107" t="s">
        <v>193</v>
      </c>
      <c r="AA48" s="107"/>
      <c r="AB48" s="107"/>
      <c r="AC48" s="9" t="s">
        <v>194</v>
      </c>
      <c r="AE48" s="107" t="s">
        <v>195</v>
      </c>
      <c r="AF48" s="107"/>
      <c r="AG48" s="107"/>
      <c r="AI48" s="107" t="s">
        <v>196</v>
      </c>
      <c r="AJ48" s="107"/>
      <c r="AK48" s="107"/>
    </row>
    <row r="49" spans="1:37" x14ac:dyDescent="0.2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W49" s="136"/>
      <c r="X49" s="102"/>
      <c r="Y49" s="137"/>
      <c r="AA49" s="12"/>
      <c r="AC49" s="12"/>
      <c r="AE49" s="12"/>
      <c r="AG49" s="12"/>
      <c r="AI49" s="136"/>
      <c r="AJ49" s="102"/>
      <c r="AK49" s="137"/>
    </row>
    <row r="50" spans="1:37" x14ac:dyDescent="0.2">
      <c r="A50" s="105" t="s">
        <v>209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M50" s="131" t="str">
        <f>IF(S52&lt;=INT(G9/2),"UNENCUMBERED",IF(S52&lt;=G9,"ENCUMBERED","OVERBURDENED"))</f>
        <v>UNENCUMBERED</v>
      </c>
      <c r="N50" s="131"/>
      <c r="O50" s="131"/>
      <c r="P50" s="131"/>
      <c r="Q50" s="131"/>
      <c r="R50" s="131"/>
      <c r="S50" s="131"/>
      <c r="T50" s="131"/>
      <c r="U50" s="131"/>
      <c r="W50" s="142" t="s">
        <v>191</v>
      </c>
      <c r="X50" s="142"/>
      <c r="Y50" s="142"/>
      <c r="Z50" s="142"/>
      <c r="AA50" s="142"/>
      <c r="AC50" s="49" t="s">
        <v>190</v>
      </c>
      <c r="AE50" s="107" t="s">
        <v>189</v>
      </c>
      <c r="AF50" s="107"/>
      <c r="AG50" s="107"/>
      <c r="AI50" s="107" t="s">
        <v>188</v>
      </c>
      <c r="AJ50" s="107"/>
      <c r="AK50" s="107"/>
    </row>
    <row r="51" spans="1:37" x14ac:dyDescent="0.2">
      <c r="A51" s="107" t="s">
        <v>210</v>
      </c>
      <c r="B51" s="107"/>
      <c r="C51" s="107"/>
      <c r="D51" s="107"/>
      <c r="E51" s="107"/>
      <c r="G51" s="107" t="s">
        <v>211</v>
      </c>
      <c r="H51" s="107"/>
      <c r="I51" s="107"/>
      <c r="J51" s="107"/>
      <c r="K51" s="107"/>
      <c r="M51" s="107" t="s">
        <v>212</v>
      </c>
      <c r="N51" s="107"/>
      <c r="O51" s="107"/>
      <c r="P51" s="107"/>
      <c r="Q51" s="107"/>
      <c r="S51" s="107" t="s">
        <v>213</v>
      </c>
      <c r="T51" s="107"/>
      <c r="U51" s="107"/>
      <c r="W51" s="139"/>
      <c r="X51" s="140"/>
      <c r="Y51" s="140"/>
      <c r="Z51" s="140"/>
      <c r="AA51" s="141"/>
      <c r="AC51" s="51"/>
      <c r="AE51" s="125"/>
      <c r="AF51" s="126"/>
      <c r="AG51" s="127"/>
      <c r="AI51" s="125"/>
      <c r="AJ51" s="126"/>
      <c r="AK51" s="127"/>
    </row>
    <row r="52" spans="1:37" x14ac:dyDescent="0.2">
      <c r="A52" s="107" t="str">
        <f>G9/2 &amp; " or less"</f>
        <v>0 or less</v>
      </c>
      <c r="B52" s="107"/>
      <c r="C52" s="107"/>
      <c r="D52" s="107"/>
      <c r="E52" s="107"/>
      <c r="G52" s="107">
        <f>G9</f>
        <v>0</v>
      </c>
      <c r="H52" s="107"/>
      <c r="I52" s="107"/>
      <c r="J52" s="107"/>
      <c r="K52" s="107"/>
      <c r="M52" s="107" t="str">
        <f>G9+1 &amp; " +"</f>
        <v>1 +</v>
      </c>
      <c r="N52" s="107"/>
      <c r="O52" s="107"/>
      <c r="P52" s="107"/>
      <c r="Q52" s="107"/>
      <c r="S52" s="107">
        <f>SUM(K55:K67)+SUM(U55:U67)+DATA!R41</f>
        <v>0</v>
      </c>
      <c r="T52" s="107"/>
      <c r="U52" s="107"/>
      <c r="W52" s="107" t="s">
        <v>192</v>
      </c>
      <c r="X52" s="107"/>
      <c r="Y52" s="107"/>
      <c r="Z52" s="107" t="s">
        <v>193</v>
      </c>
      <c r="AA52" s="107"/>
      <c r="AB52" s="107"/>
      <c r="AC52" s="9" t="s">
        <v>194</v>
      </c>
      <c r="AE52" s="107" t="s">
        <v>195</v>
      </c>
      <c r="AF52" s="107"/>
      <c r="AG52" s="107"/>
      <c r="AI52" s="107" t="s">
        <v>196</v>
      </c>
      <c r="AJ52" s="107"/>
      <c r="AK52" s="107"/>
    </row>
    <row r="53" spans="1:37" x14ac:dyDescent="0.2">
      <c r="A53" s="105" t="s">
        <v>214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W53" s="136"/>
      <c r="X53" s="102"/>
      <c r="Y53" s="137"/>
      <c r="AA53" s="12"/>
      <c r="AC53" s="12"/>
      <c r="AE53" s="12"/>
      <c r="AG53" s="12"/>
      <c r="AI53" s="136"/>
      <c r="AJ53" s="102"/>
      <c r="AK53" s="137"/>
    </row>
    <row r="54" spans="1:37" x14ac:dyDescent="0.2">
      <c r="I54" s="49" t="s">
        <v>190</v>
      </c>
      <c r="J54" s="49"/>
      <c r="K54" s="49" t="s">
        <v>204</v>
      </c>
      <c r="L54" s="49"/>
      <c r="M54" s="49"/>
      <c r="N54" s="49"/>
      <c r="O54" s="49"/>
      <c r="P54" s="49"/>
      <c r="Q54" s="49"/>
      <c r="R54" s="49"/>
      <c r="S54" s="49" t="s">
        <v>190</v>
      </c>
      <c r="T54" s="49"/>
      <c r="U54" s="49" t="s">
        <v>204</v>
      </c>
      <c r="W54" s="105" t="s">
        <v>197</v>
      </c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</row>
    <row r="55" spans="1:37" x14ac:dyDescent="0.2">
      <c r="A55" s="104"/>
      <c r="B55" s="104"/>
      <c r="C55" s="104"/>
      <c r="D55" s="104"/>
      <c r="E55" s="104"/>
      <c r="F55" s="104"/>
      <c r="G55" s="104"/>
      <c r="I55" s="65"/>
      <c r="K55" s="65"/>
      <c r="M55" s="104"/>
      <c r="N55" s="104"/>
      <c r="O55" s="104"/>
      <c r="P55" s="104"/>
      <c r="Q55" s="104"/>
      <c r="S55" s="65"/>
      <c r="U55" s="65"/>
      <c r="W55" s="138" t="s">
        <v>122</v>
      </c>
      <c r="X55" s="138"/>
      <c r="Y55" s="138"/>
      <c r="Z55" s="138"/>
      <c r="AA55" s="138"/>
      <c r="AC55" s="49" t="s">
        <v>190</v>
      </c>
      <c r="AE55" s="49" t="s">
        <v>198</v>
      </c>
      <c r="AG55" s="49" t="s">
        <v>124</v>
      </c>
      <c r="AI55" s="107" t="s">
        <v>199</v>
      </c>
      <c r="AJ55" s="107"/>
      <c r="AK55" s="107"/>
    </row>
    <row r="56" spans="1:37" x14ac:dyDescent="0.2">
      <c r="A56" s="129"/>
      <c r="B56" s="129"/>
      <c r="C56" s="129"/>
      <c r="D56" s="129"/>
      <c r="E56" s="129"/>
      <c r="F56" s="129"/>
      <c r="G56" s="129"/>
      <c r="I56" s="50"/>
      <c r="K56" s="65"/>
      <c r="M56" s="129"/>
      <c r="N56" s="129"/>
      <c r="O56" s="129"/>
      <c r="P56" s="129"/>
      <c r="Q56" s="129"/>
      <c r="S56" s="50"/>
      <c r="U56" s="65"/>
      <c r="W56" s="136"/>
      <c r="X56" s="102"/>
      <c r="Y56" s="102"/>
      <c r="Z56" s="102"/>
      <c r="AA56" s="137"/>
      <c r="AC56" s="12"/>
      <c r="AE56" s="12"/>
      <c r="AG56" s="12"/>
      <c r="AI56" s="136"/>
      <c r="AJ56" s="102"/>
      <c r="AK56" s="137"/>
    </row>
    <row r="57" spans="1:37" x14ac:dyDescent="0.2">
      <c r="A57" s="129"/>
      <c r="B57" s="129"/>
      <c r="C57" s="129"/>
      <c r="D57" s="129"/>
      <c r="E57" s="129"/>
      <c r="F57" s="129"/>
      <c r="G57" s="129"/>
      <c r="I57" s="50"/>
      <c r="K57" s="65"/>
      <c r="M57" s="129"/>
      <c r="N57" s="129"/>
      <c r="O57" s="129"/>
      <c r="P57" s="129"/>
      <c r="Q57" s="129"/>
      <c r="S57" s="50"/>
      <c r="U57" s="65"/>
      <c r="W57" s="131" t="s">
        <v>200</v>
      </c>
      <c r="X57" s="131"/>
      <c r="Y57" s="131"/>
      <c r="AA57" s="107" t="s">
        <v>201</v>
      </c>
      <c r="AB57" s="107"/>
      <c r="AC57" s="107"/>
      <c r="AE57" s="107" t="s">
        <v>203</v>
      </c>
      <c r="AF57" s="107"/>
      <c r="AG57" s="107"/>
      <c r="AH57" s="107"/>
      <c r="AI57" s="107"/>
      <c r="AK57" s="49" t="s">
        <v>204</v>
      </c>
    </row>
    <row r="58" spans="1:37" x14ac:dyDescent="0.2">
      <c r="A58" s="129"/>
      <c r="B58" s="129"/>
      <c r="C58" s="129"/>
      <c r="D58" s="129"/>
      <c r="E58" s="129"/>
      <c r="F58" s="129"/>
      <c r="G58" s="129"/>
      <c r="I58" s="50"/>
      <c r="K58" s="65"/>
      <c r="M58" s="129"/>
      <c r="N58" s="129"/>
      <c r="O58" s="129"/>
      <c r="P58" s="129"/>
      <c r="Q58" s="129"/>
      <c r="S58" s="50"/>
      <c r="U58" s="65"/>
      <c r="W58" s="125"/>
      <c r="X58" s="126"/>
      <c r="Y58" s="127"/>
      <c r="AA58" s="125"/>
      <c r="AB58" s="126"/>
      <c r="AC58" s="127"/>
      <c r="AE58" s="125"/>
      <c r="AF58" s="126"/>
      <c r="AG58" s="126"/>
      <c r="AH58" s="126"/>
      <c r="AI58" s="127"/>
      <c r="AK58" s="51"/>
    </row>
    <row r="59" spans="1:37" x14ac:dyDescent="0.2">
      <c r="A59" s="129"/>
      <c r="B59" s="129"/>
      <c r="C59" s="129"/>
      <c r="D59" s="129"/>
      <c r="E59" s="129"/>
      <c r="F59" s="129"/>
      <c r="G59" s="129"/>
      <c r="I59" s="50"/>
      <c r="K59" s="65"/>
      <c r="M59" s="129"/>
      <c r="N59" s="129"/>
      <c r="O59" s="129"/>
      <c r="P59" s="129"/>
      <c r="Q59" s="129"/>
      <c r="S59" s="50"/>
      <c r="U59" s="65"/>
      <c r="W59" s="132" t="s">
        <v>202</v>
      </c>
      <c r="X59" s="132"/>
      <c r="Y59" s="132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</row>
    <row r="60" spans="1:37" x14ac:dyDescent="0.2">
      <c r="A60" s="129"/>
      <c r="B60" s="129"/>
      <c r="C60" s="129"/>
      <c r="D60" s="129"/>
      <c r="E60" s="129"/>
      <c r="F60" s="129"/>
      <c r="G60" s="129"/>
      <c r="I60" s="50"/>
      <c r="K60" s="65"/>
      <c r="M60" s="129"/>
      <c r="N60" s="129"/>
      <c r="O60" s="129"/>
      <c r="P60" s="129"/>
      <c r="Q60" s="129"/>
      <c r="S60" s="50"/>
      <c r="U60" s="65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</row>
    <row r="61" spans="1:37" x14ac:dyDescent="0.2">
      <c r="A61" s="129"/>
      <c r="B61" s="129"/>
      <c r="C61" s="129"/>
      <c r="D61" s="129"/>
      <c r="E61" s="129"/>
      <c r="F61" s="129"/>
      <c r="G61" s="129"/>
      <c r="I61" s="50"/>
      <c r="K61" s="65"/>
      <c r="M61" s="129"/>
      <c r="N61" s="129"/>
      <c r="O61" s="129"/>
      <c r="P61" s="129"/>
      <c r="Q61" s="129"/>
      <c r="S61" s="50"/>
      <c r="U61" s="65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</row>
    <row r="62" spans="1:37" x14ac:dyDescent="0.2">
      <c r="A62" s="129"/>
      <c r="B62" s="129"/>
      <c r="C62" s="129"/>
      <c r="D62" s="129"/>
      <c r="E62" s="129"/>
      <c r="F62" s="129"/>
      <c r="G62" s="129"/>
      <c r="I62" s="50"/>
      <c r="K62" s="65"/>
      <c r="M62" s="129"/>
      <c r="N62" s="129"/>
      <c r="O62" s="129"/>
      <c r="P62" s="129"/>
      <c r="Q62" s="129"/>
      <c r="S62" s="50"/>
      <c r="U62" s="65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</row>
    <row r="63" spans="1:37" x14ac:dyDescent="0.2">
      <c r="A63" s="129"/>
      <c r="B63" s="129"/>
      <c r="C63" s="129"/>
      <c r="D63" s="129"/>
      <c r="E63" s="129"/>
      <c r="F63" s="129"/>
      <c r="G63" s="129"/>
      <c r="I63" s="50"/>
      <c r="K63" s="65"/>
      <c r="M63" s="129"/>
      <c r="N63" s="129"/>
      <c r="O63" s="129"/>
      <c r="P63" s="129"/>
      <c r="Q63" s="129"/>
      <c r="S63" s="50"/>
      <c r="U63" s="65"/>
      <c r="W63" s="105" t="s">
        <v>208</v>
      </c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</row>
    <row r="64" spans="1:37" x14ac:dyDescent="0.2">
      <c r="A64" s="129"/>
      <c r="B64" s="129"/>
      <c r="C64" s="129"/>
      <c r="D64" s="129"/>
      <c r="E64" s="129"/>
      <c r="F64" s="129"/>
      <c r="G64" s="129"/>
      <c r="I64" s="50"/>
      <c r="K64" s="65"/>
      <c r="M64" s="129"/>
      <c r="N64" s="129"/>
      <c r="O64" s="129"/>
      <c r="P64" s="129"/>
      <c r="Q64" s="129"/>
      <c r="S64" s="50"/>
      <c r="U64" s="65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</row>
    <row r="65" spans="1:37" x14ac:dyDescent="0.2">
      <c r="A65" s="129"/>
      <c r="B65" s="129"/>
      <c r="C65" s="129"/>
      <c r="D65" s="129"/>
      <c r="E65" s="129"/>
      <c r="F65" s="129"/>
      <c r="G65" s="129"/>
      <c r="I65" s="50"/>
      <c r="K65" s="65"/>
      <c r="M65" s="129"/>
      <c r="N65" s="129"/>
      <c r="O65" s="129"/>
      <c r="P65" s="129"/>
      <c r="Q65" s="129"/>
      <c r="S65" s="50"/>
      <c r="U65" s="65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</row>
    <row r="66" spans="1:37" x14ac:dyDescent="0.2">
      <c r="A66" s="130"/>
      <c r="B66" s="130"/>
      <c r="C66" s="130"/>
      <c r="D66" s="130"/>
      <c r="E66" s="130"/>
      <c r="F66" s="130"/>
      <c r="G66" s="130"/>
      <c r="I66" s="67"/>
      <c r="K66" s="98"/>
      <c r="M66" s="130"/>
      <c r="N66" s="130"/>
      <c r="O66" s="130"/>
      <c r="P66" s="130"/>
      <c r="Q66" s="130"/>
      <c r="S66" s="67"/>
      <c r="U66" s="98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</row>
    <row r="67" spans="1:37" x14ac:dyDescent="0.2">
      <c r="A67" s="129"/>
      <c r="B67" s="129"/>
      <c r="C67" s="129"/>
      <c r="D67" s="129"/>
      <c r="E67" s="129"/>
      <c r="F67" s="129"/>
      <c r="G67" s="129"/>
      <c r="I67" s="68"/>
      <c r="K67" s="68"/>
      <c r="M67" s="129"/>
      <c r="N67" s="129"/>
      <c r="O67" s="129"/>
      <c r="P67" s="129"/>
      <c r="Q67" s="129"/>
      <c r="S67" s="68"/>
      <c r="U67" s="68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</row>
    <row r="68" spans="1:37" x14ac:dyDescent="0.2">
      <c r="A68" s="105" t="s">
        <v>263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72"/>
      <c r="M68" s="99"/>
      <c r="N68" s="99"/>
      <c r="O68" s="99"/>
      <c r="P68" s="99"/>
      <c r="Q68" s="99"/>
      <c r="R68" s="72"/>
      <c r="S68" s="100"/>
      <c r="T68" s="72"/>
      <c r="U68" s="100"/>
      <c r="W68" s="105" t="s">
        <v>244</v>
      </c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</row>
    <row r="69" spans="1:37" x14ac:dyDescent="0.2">
      <c r="A69" s="120" t="s">
        <v>253</v>
      </c>
      <c r="B69" s="121"/>
      <c r="C69" s="121"/>
      <c r="E69" s="122"/>
      <c r="F69" s="123"/>
      <c r="G69" s="124"/>
      <c r="I69" s="106" t="s">
        <v>254</v>
      </c>
      <c r="J69" s="107"/>
      <c r="K69" s="107"/>
      <c r="M69" s="108"/>
      <c r="N69" s="109"/>
      <c r="O69" s="110"/>
      <c r="Q69" s="107" t="s">
        <v>255</v>
      </c>
      <c r="R69" s="107"/>
      <c r="S69" s="107"/>
      <c r="T69" s="107"/>
      <c r="U69" s="107"/>
      <c r="W69" s="89">
        <v>0</v>
      </c>
      <c r="Y69" s="107" t="s">
        <v>244</v>
      </c>
      <c r="Z69" s="107"/>
      <c r="AA69" s="107"/>
      <c r="AB69" s="107"/>
      <c r="AC69" s="107"/>
      <c r="AE69" s="168" t="str">
        <f>IF(OR(E3="Mystic",E3="Technomancer",E3=DATA!A23),VLOOKUP(O3,DATA!O74:V93,2,TRUE),"-")</f>
        <v>-</v>
      </c>
      <c r="AF69" s="169"/>
      <c r="AG69" s="170"/>
    </row>
    <row r="70" spans="1:37" x14ac:dyDescent="0.2">
      <c r="A70" s="121"/>
      <c r="B70" s="121"/>
      <c r="C70" s="121"/>
      <c r="E70" s="111"/>
      <c r="F70" s="112"/>
      <c r="G70" s="113"/>
      <c r="I70" s="107"/>
      <c r="J70" s="107"/>
      <c r="K70" s="107"/>
      <c r="M70" s="111"/>
      <c r="N70" s="112"/>
      <c r="O70" s="113"/>
      <c r="Q70" s="125"/>
      <c r="R70" s="126"/>
      <c r="S70" s="126"/>
      <c r="T70" s="126"/>
      <c r="U70" s="127"/>
      <c r="W70" s="90"/>
      <c r="X70" s="90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</row>
    <row r="71" spans="1:37" x14ac:dyDescent="0.2">
      <c r="A71" s="107" t="s">
        <v>256</v>
      </c>
      <c r="B71" s="107"/>
      <c r="C71" s="107"/>
      <c r="D71" s="107"/>
      <c r="E71" s="107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W71" s="90"/>
      <c r="X71" s="90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</row>
    <row r="72" spans="1:37" x14ac:dyDescent="0.2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W72" s="90"/>
      <c r="X72" s="90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</row>
    <row r="73" spans="1:37" x14ac:dyDescent="0.2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W73" s="90"/>
      <c r="X73" s="90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</row>
    <row r="74" spans="1:37" x14ac:dyDescent="0.2">
      <c r="A74" s="105" t="s">
        <v>264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W74" s="90"/>
      <c r="X74" s="90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</row>
    <row r="75" spans="1:37" x14ac:dyDescent="0.2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W75" s="90"/>
      <c r="X75" s="90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</row>
    <row r="76" spans="1:37" x14ac:dyDescent="0.2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Y76" s="174" t="s">
        <v>244</v>
      </c>
      <c r="Z76" s="174"/>
      <c r="AA76" s="174"/>
      <c r="AC76" s="174" t="s">
        <v>245</v>
      </c>
      <c r="AD76" s="174"/>
      <c r="AE76" s="174"/>
      <c r="AG76" s="174" t="s">
        <v>246</v>
      </c>
      <c r="AH76" s="174"/>
      <c r="AI76" s="174"/>
    </row>
    <row r="77" spans="1:37" x14ac:dyDescent="0.2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W77" s="89" t="s">
        <v>237</v>
      </c>
      <c r="Y77" s="175" t="str">
        <f>IF(OR(E3="Mystic",E3="Technomancer",E3=DATA!A23),VLOOKUP(O3,DATA!O74:V93,3,TRUE),"-")</f>
        <v>-</v>
      </c>
      <c r="Z77" s="176"/>
      <c r="AA77" s="177"/>
      <c r="AB77" s="61"/>
      <c r="AC77" s="175" t="str">
        <f>IF(OR(E3="Mystic",E3="Technomancer",E3=DATA!A23),VLOOKUP(O3,DATA!O50:U69,2,TRUE)+DATA!X70,"-")</f>
        <v>-</v>
      </c>
      <c r="AD77" s="176"/>
      <c r="AE77" s="177"/>
      <c r="AF77" s="61"/>
      <c r="AG77" s="125"/>
      <c r="AH77" s="126"/>
      <c r="AI77" s="127"/>
    </row>
    <row r="78" spans="1:37" x14ac:dyDescent="0.2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</row>
    <row r="79" spans="1:37" x14ac:dyDescent="0.2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</row>
    <row r="80" spans="1:37" x14ac:dyDescent="0.2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</row>
    <row r="81" spans="1:37" x14ac:dyDescent="0.2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</row>
    <row r="82" spans="1:37" x14ac:dyDescent="0.2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</row>
    <row r="83" spans="1:37" x14ac:dyDescent="0.2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</row>
    <row r="84" spans="1:37" x14ac:dyDescent="0.2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Y84" s="174" t="s">
        <v>244</v>
      </c>
      <c r="Z84" s="174"/>
      <c r="AA84" s="174"/>
      <c r="AC84" s="174" t="s">
        <v>245</v>
      </c>
      <c r="AD84" s="174"/>
      <c r="AE84" s="174"/>
      <c r="AG84" s="174" t="s">
        <v>246</v>
      </c>
      <c r="AH84" s="174"/>
      <c r="AI84" s="174"/>
    </row>
    <row r="85" spans="1:37" x14ac:dyDescent="0.2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W85" s="89" t="s">
        <v>238</v>
      </c>
      <c r="Y85" s="175" t="str">
        <f>IF(OR(E3="Mystic",E3="Technomancer",E3=DATA!A23),VLOOKUP(O3,DATA!O74:V93,4,TRUE),"-")</f>
        <v>-</v>
      </c>
      <c r="Z85" s="176"/>
      <c r="AA85" s="177"/>
      <c r="AB85" s="61"/>
      <c r="AC85" s="175" t="str">
        <f>IF(OR(E3="Mystic",E3="Technomancer"),VLOOKUP(O3,DATA!O50:U69,3,TRUE)+DATA!Y70,"-")</f>
        <v>-</v>
      </c>
      <c r="AD85" s="176"/>
      <c r="AE85" s="177"/>
      <c r="AF85" s="61"/>
      <c r="AG85" s="125"/>
      <c r="AH85" s="126"/>
      <c r="AI85" s="127"/>
    </row>
    <row r="86" spans="1:37" x14ac:dyDescent="0.2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</row>
    <row r="87" spans="1:37" x14ac:dyDescent="0.2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</row>
    <row r="88" spans="1:37" x14ac:dyDescent="0.2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</row>
    <row r="89" spans="1:37" x14ac:dyDescent="0.2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</row>
    <row r="90" spans="1:37" x14ac:dyDescent="0.2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</row>
    <row r="91" spans="1:37" x14ac:dyDescent="0.2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</row>
    <row r="92" spans="1:37" x14ac:dyDescent="0.2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Y92" s="174" t="s">
        <v>244</v>
      </c>
      <c r="Z92" s="174"/>
      <c r="AA92" s="174"/>
      <c r="AC92" s="174" t="s">
        <v>245</v>
      </c>
      <c r="AD92" s="174"/>
      <c r="AE92" s="174"/>
      <c r="AG92" s="174" t="s">
        <v>246</v>
      </c>
      <c r="AH92" s="174"/>
      <c r="AI92" s="174"/>
    </row>
    <row r="93" spans="1:37" x14ac:dyDescent="0.2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W93" s="89" t="s">
        <v>239</v>
      </c>
      <c r="Y93" s="175" t="str">
        <f>IF(OR(E3="Mystic",E3="Technomancer",E3=DATA!A23),VLOOKUP(O3,DATA!O74:V93,5,TRUE),"-")</f>
        <v>-</v>
      </c>
      <c r="Z93" s="176"/>
      <c r="AA93" s="177"/>
      <c r="AB93" s="61"/>
      <c r="AC93" s="175" t="str">
        <f>IF(OR(E3="Mystic",E3="Technomancer"),VLOOKUP(O3,DATA!O50:U69,4,TRUE)+DATA!Z70,"-")</f>
        <v>-</v>
      </c>
      <c r="AD93" s="176"/>
      <c r="AE93" s="177"/>
      <c r="AF93" s="61"/>
      <c r="AG93" s="125"/>
      <c r="AH93" s="126"/>
      <c r="AI93" s="127"/>
    </row>
    <row r="94" spans="1:37" x14ac:dyDescent="0.2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</row>
    <row r="95" spans="1:37" x14ac:dyDescent="0.2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</row>
    <row r="96" spans="1:37" x14ac:dyDescent="0.2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</row>
    <row r="97" spans="1:37" x14ac:dyDescent="0.2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</row>
    <row r="98" spans="1:37" x14ac:dyDescent="0.2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</row>
    <row r="99" spans="1:37" x14ac:dyDescent="0.2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</row>
    <row r="100" spans="1:37" x14ac:dyDescent="0.2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Y100" s="174" t="s">
        <v>244</v>
      </c>
      <c r="Z100" s="174"/>
      <c r="AA100" s="174"/>
      <c r="AC100" s="174" t="s">
        <v>245</v>
      </c>
      <c r="AD100" s="174"/>
      <c r="AE100" s="174"/>
      <c r="AG100" s="174" t="s">
        <v>246</v>
      </c>
      <c r="AH100" s="174"/>
      <c r="AI100" s="174"/>
    </row>
    <row r="101" spans="1:37" x14ac:dyDescent="0.2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W101" s="89" t="s">
        <v>240</v>
      </c>
      <c r="Y101" s="175" t="str">
        <f>IF(OR(E3="Mystic",E3="Technomancer",E3=DATA!A23),VLOOKUP(O3,DATA!O74:V93,6,TRUE),"-")</f>
        <v>-</v>
      </c>
      <c r="Z101" s="176"/>
      <c r="AA101" s="177"/>
      <c r="AB101" s="61"/>
      <c r="AC101" s="175" t="str">
        <f>IF(OR(E3="Mystic",E3="Technomancer"),VLOOKUP(O3,DATA!O50:U69,5,TRUE)+DATA!AA70,"-")</f>
        <v>-</v>
      </c>
      <c r="AD101" s="176"/>
      <c r="AE101" s="177"/>
      <c r="AF101" s="61"/>
      <c r="AG101" s="125"/>
      <c r="AH101" s="126"/>
      <c r="AI101" s="127"/>
    </row>
    <row r="102" spans="1:37" x14ac:dyDescent="0.2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</row>
    <row r="103" spans="1:37" x14ac:dyDescent="0.2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</row>
    <row r="104" spans="1:37" x14ac:dyDescent="0.2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</row>
    <row r="105" spans="1:37" x14ac:dyDescent="0.2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</row>
    <row r="106" spans="1:37" x14ac:dyDescent="0.2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</row>
    <row r="107" spans="1:37" x14ac:dyDescent="0.2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</row>
    <row r="108" spans="1:37" x14ac:dyDescent="0.2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Y108" s="174" t="s">
        <v>244</v>
      </c>
      <c r="Z108" s="174"/>
      <c r="AA108" s="174"/>
      <c r="AC108" s="174" t="s">
        <v>245</v>
      </c>
      <c r="AD108" s="174"/>
      <c r="AE108" s="174"/>
      <c r="AG108" s="174" t="s">
        <v>246</v>
      </c>
      <c r="AH108" s="174"/>
      <c r="AI108" s="174"/>
    </row>
    <row r="109" spans="1:37" x14ac:dyDescent="0.2">
      <c r="A109" s="105" t="s">
        <v>265</v>
      </c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W109" s="89" t="s">
        <v>241</v>
      </c>
      <c r="Y109" s="175" t="str">
        <f>IF(OR(E3="Mystic",E3="Technomancer",E3=DATA!A23),VLOOKUP(O3,DATA!O74:V93,7,TRUE),"-")</f>
        <v>-</v>
      </c>
      <c r="Z109" s="176"/>
      <c r="AA109" s="177"/>
      <c r="AB109" s="61"/>
      <c r="AC109" s="175" t="str">
        <f>IF(OR(E3="Mystic",E3="Technomancer"),VLOOKUP(O3,DATA!O50:U69,6,TRUE)+DATA!AB70,"-")</f>
        <v>-</v>
      </c>
      <c r="AD109" s="176"/>
      <c r="AE109" s="177"/>
      <c r="AF109" s="61"/>
      <c r="AG109" s="125"/>
      <c r="AH109" s="126"/>
      <c r="AI109" s="127"/>
    </row>
    <row r="110" spans="1:37" x14ac:dyDescent="0.2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M110" s="103"/>
      <c r="N110" s="103"/>
      <c r="O110" s="103"/>
      <c r="P110" s="103"/>
      <c r="Q110" s="103"/>
      <c r="R110" s="103"/>
      <c r="S110" s="103"/>
      <c r="T110" s="103"/>
      <c r="U110" s="103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</row>
    <row r="111" spans="1:37" x14ac:dyDescent="0.2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M111" s="102"/>
      <c r="N111" s="102"/>
      <c r="O111" s="102"/>
      <c r="P111" s="102"/>
      <c r="Q111" s="102"/>
      <c r="R111" s="102"/>
      <c r="S111" s="102"/>
      <c r="T111" s="102"/>
      <c r="U111" s="102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</row>
    <row r="112" spans="1:37" x14ac:dyDescent="0.2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M112" s="102"/>
      <c r="N112" s="102"/>
      <c r="O112" s="102"/>
      <c r="P112" s="102"/>
      <c r="Q112" s="102"/>
      <c r="R112" s="102"/>
      <c r="S112" s="102"/>
      <c r="T112" s="102"/>
      <c r="U112" s="102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</row>
    <row r="113" spans="1:37" x14ac:dyDescent="0.2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M113" s="102"/>
      <c r="N113" s="102"/>
      <c r="O113" s="102"/>
      <c r="P113" s="102"/>
      <c r="Q113" s="102"/>
      <c r="R113" s="102"/>
      <c r="S113" s="102"/>
      <c r="T113" s="102"/>
      <c r="U113" s="102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</row>
    <row r="114" spans="1:37" x14ac:dyDescent="0.2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M114" s="102"/>
      <c r="N114" s="102"/>
      <c r="O114" s="102"/>
      <c r="P114" s="102"/>
      <c r="Q114" s="102"/>
      <c r="R114" s="102"/>
      <c r="S114" s="102"/>
      <c r="T114" s="102"/>
      <c r="U114" s="102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</row>
    <row r="115" spans="1:37" x14ac:dyDescent="0.2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M115" s="102"/>
      <c r="N115" s="102"/>
      <c r="O115" s="102"/>
      <c r="P115" s="102"/>
      <c r="Q115" s="102"/>
      <c r="R115" s="102"/>
      <c r="S115" s="102"/>
      <c r="T115" s="102"/>
      <c r="U115" s="102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</row>
    <row r="116" spans="1:37" x14ac:dyDescent="0.2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M116" s="102"/>
      <c r="N116" s="102"/>
      <c r="O116" s="102"/>
      <c r="P116" s="102"/>
      <c r="Q116" s="102"/>
      <c r="R116" s="102"/>
      <c r="S116" s="102"/>
      <c r="T116" s="102"/>
      <c r="U116" s="102"/>
      <c r="Y116" s="174" t="s">
        <v>244</v>
      </c>
      <c r="Z116" s="174"/>
      <c r="AA116" s="174"/>
      <c r="AC116" s="174" t="s">
        <v>245</v>
      </c>
      <c r="AD116" s="174"/>
      <c r="AE116" s="174"/>
      <c r="AG116" s="174" t="s">
        <v>246</v>
      </c>
      <c r="AH116" s="174"/>
      <c r="AI116" s="174"/>
    </row>
    <row r="117" spans="1:37" x14ac:dyDescent="0.2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M117" s="102"/>
      <c r="N117" s="102"/>
      <c r="O117" s="102"/>
      <c r="P117" s="102"/>
      <c r="Q117" s="102"/>
      <c r="R117" s="102"/>
      <c r="S117" s="102"/>
      <c r="T117" s="102"/>
      <c r="U117" s="102"/>
      <c r="W117" s="89" t="s">
        <v>242</v>
      </c>
      <c r="Y117" s="175" t="str">
        <f>IF(OR(E3="Mystic",E3="Technomancer",E3=DATA!A23),VLOOKUP(O3,DATA!O74:V93,8,TRUE),"-")</f>
        <v>-</v>
      </c>
      <c r="Z117" s="176"/>
      <c r="AA117" s="177"/>
      <c r="AB117" s="61"/>
      <c r="AC117" s="175" t="str">
        <f>IF(OR(E3="Mystic",E3="Technomancer"),VLOOKUP(O3,DATA!O50:U69,7,TRUE)+DATA!AC70,"-")</f>
        <v>-</v>
      </c>
      <c r="AD117" s="176"/>
      <c r="AE117" s="177"/>
      <c r="AF117" s="61"/>
      <c r="AG117" s="125"/>
      <c r="AH117" s="126"/>
      <c r="AI117" s="127"/>
    </row>
    <row r="118" spans="1:37" x14ac:dyDescent="0.2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M118" s="102"/>
      <c r="N118" s="102"/>
      <c r="O118" s="102"/>
      <c r="P118" s="102"/>
      <c r="Q118" s="102"/>
      <c r="R118" s="102"/>
      <c r="S118" s="102"/>
      <c r="T118" s="102"/>
      <c r="U118" s="102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</row>
    <row r="119" spans="1:37" x14ac:dyDescent="0.2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M119" s="102"/>
      <c r="N119" s="102"/>
      <c r="O119" s="102"/>
      <c r="P119" s="102"/>
      <c r="Q119" s="102"/>
      <c r="R119" s="102"/>
      <c r="S119" s="102"/>
      <c r="T119" s="102"/>
      <c r="U119" s="102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</row>
    <row r="120" spans="1:37" x14ac:dyDescent="0.2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M120" s="102"/>
      <c r="N120" s="102"/>
      <c r="O120" s="102"/>
      <c r="P120" s="102"/>
      <c r="Q120" s="102"/>
      <c r="R120" s="102"/>
      <c r="S120" s="102"/>
      <c r="T120" s="102"/>
      <c r="U120" s="102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</row>
    <row r="121" spans="1:37" x14ac:dyDescent="0.2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M121" s="102"/>
      <c r="N121" s="102"/>
      <c r="O121" s="102"/>
      <c r="P121" s="102"/>
      <c r="Q121" s="102"/>
      <c r="R121" s="102"/>
      <c r="S121" s="102"/>
      <c r="T121" s="102"/>
      <c r="U121" s="102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</row>
    <row r="122" spans="1:37" x14ac:dyDescent="0.2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M122" s="102"/>
      <c r="N122" s="102"/>
      <c r="O122" s="102"/>
      <c r="P122" s="102"/>
      <c r="Q122" s="102"/>
      <c r="R122" s="102"/>
      <c r="S122" s="102"/>
      <c r="T122" s="102"/>
      <c r="U122" s="102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</row>
    <row r="123" spans="1:37" x14ac:dyDescent="0.2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M123" s="102"/>
      <c r="N123" s="102"/>
      <c r="O123" s="102"/>
      <c r="P123" s="102"/>
      <c r="Q123" s="102"/>
      <c r="R123" s="102"/>
      <c r="S123" s="102"/>
      <c r="T123" s="102"/>
      <c r="U123" s="102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</row>
    <row r="124" spans="1:37" x14ac:dyDescent="0.2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M124" s="102"/>
      <c r="N124" s="102"/>
      <c r="O124" s="102"/>
      <c r="P124" s="102"/>
      <c r="Q124" s="102"/>
      <c r="R124" s="102"/>
      <c r="S124" s="102"/>
      <c r="T124" s="102"/>
      <c r="U124" s="102"/>
      <c r="W124" s="105" t="s">
        <v>184</v>
      </c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</row>
    <row r="125" spans="1:37" x14ac:dyDescent="0.2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M125" s="102"/>
      <c r="N125" s="102"/>
      <c r="O125" s="102"/>
      <c r="P125" s="102"/>
      <c r="Q125" s="102"/>
      <c r="R125" s="102"/>
      <c r="S125" s="102"/>
      <c r="T125" s="102"/>
      <c r="U125" s="102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</row>
    <row r="126" spans="1:37" x14ac:dyDescent="0.2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M126" s="102"/>
      <c r="N126" s="102"/>
      <c r="O126" s="102"/>
      <c r="P126" s="102"/>
      <c r="Q126" s="102"/>
      <c r="R126" s="102"/>
      <c r="S126" s="102"/>
      <c r="T126" s="102"/>
      <c r="U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</row>
    <row r="127" spans="1:37" x14ac:dyDescent="0.2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M127" s="102"/>
      <c r="N127" s="102"/>
      <c r="O127" s="102"/>
      <c r="P127" s="102"/>
      <c r="Q127" s="102"/>
      <c r="R127" s="102"/>
      <c r="S127" s="102"/>
      <c r="T127" s="102"/>
      <c r="U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</row>
    <row r="128" spans="1:37" x14ac:dyDescent="0.2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M128" s="102"/>
      <c r="N128" s="102"/>
      <c r="O128" s="102"/>
      <c r="P128" s="102"/>
      <c r="Q128" s="102"/>
      <c r="R128" s="102"/>
      <c r="S128" s="102"/>
      <c r="T128" s="102"/>
      <c r="U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</row>
    <row r="129" spans="1:37" x14ac:dyDescent="0.2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M129" s="102"/>
      <c r="N129" s="102"/>
      <c r="O129" s="102"/>
      <c r="P129" s="102"/>
      <c r="Q129" s="102"/>
      <c r="R129" s="102"/>
      <c r="S129" s="102"/>
      <c r="T129" s="102"/>
      <c r="U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</row>
    <row r="130" spans="1:37" x14ac:dyDescent="0.2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M130" s="102"/>
      <c r="N130" s="102"/>
      <c r="O130" s="102"/>
      <c r="P130" s="102"/>
      <c r="Q130" s="102"/>
      <c r="R130" s="102"/>
      <c r="S130" s="102"/>
      <c r="T130" s="102"/>
      <c r="U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</row>
    <row r="131" spans="1:37" x14ac:dyDescent="0.2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M131" s="102"/>
      <c r="N131" s="102"/>
      <c r="O131" s="102"/>
      <c r="P131" s="102"/>
      <c r="Q131" s="102"/>
      <c r="R131" s="102"/>
      <c r="S131" s="102"/>
      <c r="T131" s="102"/>
      <c r="U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</row>
    <row r="132" spans="1:37" x14ac:dyDescent="0.2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M132" s="102"/>
      <c r="N132" s="102"/>
      <c r="O132" s="102"/>
      <c r="P132" s="102"/>
      <c r="Q132" s="102"/>
      <c r="R132" s="102"/>
      <c r="S132" s="102"/>
      <c r="T132" s="102"/>
      <c r="U132" s="102"/>
      <c r="W132" s="105" t="s">
        <v>257</v>
      </c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</row>
    <row r="133" spans="1:37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M133" s="102"/>
      <c r="N133" s="102"/>
      <c r="O133" s="102"/>
      <c r="P133" s="102"/>
      <c r="Q133" s="102"/>
      <c r="R133" s="102"/>
      <c r="S133" s="102"/>
      <c r="T133" s="102"/>
      <c r="U133" s="102"/>
      <c r="W133" s="106" t="s">
        <v>259</v>
      </c>
      <c r="X133" s="107"/>
      <c r="Y133" s="107"/>
      <c r="AA133" s="108"/>
      <c r="AB133" s="109"/>
      <c r="AC133" s="110"/>
      <c r="AE133" s="106" t="s">
        <v>258</v>
      </c>
      <c r="AF133" s="107"/>
      <c r="AG133" s="107"/>
      <c r="AI133" s="114">
        <f>VLOOKUP(O3,DATA!X74:Z93,3,FALSE)</f>
        <v>1300</v>
      </c>
      <c r="AJ133" s="115"/>
      <c r="AK133" s="116"/>
    </row>
    <row r="134" spans="1:37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M134" s="102"/>
      <c r="N134" s="102"/>
      <c r="O134" s="102"/>
      <c r="P134" s="102"/>
      <c r="Q134" s="102"/>
      <c r="R134" s="102"/>
      <c r="S134" s="102"/>
      <c r="T134" s="102"/>
      <c r="U134" s="102"/>
      <c r="W134" s="107"/>
      <c r="X134" s="107"/>
      <c r="Y134" s="107"/>
      <c r="AA134" s="111"/>
      <c r="AB134" s="112"/>
      <c r="AC134" s="113"/>
      <c r="AE134" s="107"/>
      <c r="AF134" s="107"/>
      <c r="AG134" s="107"/>
      <c r="AI134" s="117"/>
      <c r="AJ134" s="118"/>
      <c r="AK134" s="119"/>
    </row>
  </sheetData>
  <sheetProtection sheet="1" selectLockedCells="1"/>
  <mergeCells count="436">
    <mergeCell ref="Y118:AK118"/>
    <mergeCell ref="Y119:AK119"/>
    <mergeCell ref="Y120:AK120"/>
    <mergeCell ref="Y121:AK121"/>
    <mergeCell ref="Y122:AK122"/>
    <mergeCell ref="Y123:AK123"/>
    <mergeCell ref="Y113:AK113"/>
    <mergeCell ref="Y114:AK114"/>
    <mergeCell ref="Y115:AK115"/>
    <mergeCell ref="Y116:AA116"/>
    <mergeCell ref="AC116:AE116"/>
    <mergeCell ref="AG116:AI116"/>
    <mergeCell ref="Y117:AA117"/>
    <mergeCell ref="AC117:AE117"/>
    <mergeCell ref="AG117:AI117"/>
    <mergeCell ref="Y108:AA108"/>
    <mergeCell ref="AC108:AE108"/>
    <mergeCell ref="AG108:AI108"/>
    <mergeCell ref="Y109:AA109"/>
    <mergeCell ref="AC109:AE109"/>
    <mergeCell ref="AG109:AI109"/>
    <mergeCell ref="Y110:AK110"/>
    <mergeCell ref="Y111:AK111"/>
    <mergeCell ref="Y112:AK112"/>
    <mergeCell ref="Y101:AA101"/>
    <mergeCell ref="AC101:AE101"/>
    <mergeCell ref="AG101:AI101"/>
    <mergeCell ref="Y102:AK102"/>
    <mergeCell ref="Y103:AK103"/>
    <mergeCell ref="Y104:AK104"/>
    <mergeCell ref="Y105:AK105"/>
    <mergeCell ref="Y106:AK106"/>
    <mergeCell ref="Y107:AK107"/>
    <mergeCell ref="Y94:AK94"/>
    <mergeCell ref="Y95:AK95"/>
    <mergeCell ref="Y96:AK96"/>
    <mergeCell ref="Y97:AK97"/>
    <mergeCell ref="Y98:AK98"/>
    <mergeCell ref="Y99:AK99"/>
    <mergeCell ref="Y100:AA100"/>
    <mergeCell ref="AC100:AE100"/>
    <mergeCell ref="AG100:AI100"/>
    <mergeCell ref="Y89:AK89"/>
    <mergeCell ref="Y90:AK90"/>
    <mergeCell ref="Y91:AK91"/>
    <mergeCell ref="Y92:AA92"/>
    <mergeCell ref="AC92:AE92"/>
    <mergeCell ref="AG92:AI92"/>
    <mergeCell ref="Y93:AA93"/>
    <mergeCell ref="AC93:AE93"/>
    <mergeCell ref="AG93:AI93"/>
    <mergeCell ref="Y84:AA84"/>
    <mergeCell ref="AC84:AE84"/>
    <mergeCell ref="AG84:AI84"/>
    <mergeCell ref="Y85:AA85"/>
    <mergeCell ref="AC85:AE85"/>
    <mergeCell ref="AG85:AI85"/>
    <mergeCell ref="Y86:AK86"/>
    <mergeCell ref="Y87:AK87"/>
    <mergeCell ref="Y88:AK88"/>
    <mergeCell ref="Y70:AK70"/>
    <mergeCell ref="Y71:AK71"/>
    <mergeCell ref="Y72:AK72"/>
    <mergeCell ref="Y73:AK73"/>
    <mergeCell ref="Y74:AK74"/>
    <mergeCell ref="Y75:AK75"/>
    <mergeCell ref="Y78:AK78"/>
    <mergeCell ref="Y79:AK79"/>
    <mergeCell ref="Y80:AK80"/>
    <mergeCell ref="Y81:AK81"/>
    <mergeCell ref="Y82:AK82"/>
    <mergeCell ref="Y83:AK83"/>
    <mergeCell ref="Y76:AA76"/>
    <mergeCell ref="AC76:AE76"/>
    <mergeCell ref="AG76:AI76"/>
    <mergeCell ref="Y77:AA77"/>
    <mergeCell ref="AC77:AE77"/>
    <mergeCell ref="AG77:AI77"/>
    <mergeCell ref="W68:AG68"/>
    <mergeCell ref="Y69:AC69"/>
    <mergeCell ref="AE69:AG69"/>
    <mergeCell ref="A42:C42"/>
    <mergeCell ref="A15:U15"/>
    <mergeCell ref="W14:AA14"/>
    <mergeCell ref="AA4:AK4"/>
    <mergeCell ref="U4:Y4"/>
    <mergeCell ref="O4:Q4"/>
    <mergeCell ref="I4:K4"/>
    <mergeCell ref="E4:G4"/>
    <mergeCell ref="E42:U42"/>
    <mergeCell ref="AE29:AG29"/>
    <mergeCell ref="W30:AC30"/>
    <mergeCell ref="W31:AC31"/>
    <mergeCell ref="W32:AC32"/>
    <mergeCell ref="AE30:AG30"/>
    <mergeCell ref="AE31:AG31"/>
    <mergeCell ref="AE32:AG32"/>
    <mergeCell ref="W24:AA24"/>
    <mergeCell ref="W25:AA25"/>
    <mergeCell ref="W26:AA26"/>
    <mergeCell ref="AE24:AG24"/>
    <mergeCell ref="AE25:AG25"/>
    <mergeCell ref="AE26:AG26"/>
    <mergeCell ref="AB24:AD24"/>
    <mergeCell ref="AB25:AD25"/>
    <mergeCell ref="AI12:AK12"/>
    <mergeCell ref="S5:W5"/>
    <mergeCell ref="Y5:AA5"/>
    <mergeCell ref="W13:AK13"/>
    <mergeCell ref="W15:AG15"/>
    <mergeCell ref="AE16:AG16"/>
    <mergeCell ref="AI10:AK10"/>
    <mergeCell ref="AE10:AG10"/>
    <mergeCell ref="AA10:AC10"/>
    <mergeCell ref="W11:Y11"/>
    <mergeCell ref="W12:Y12"/>
    <mergeCell ref="AA11:AC11"/>
    <mergeCell ref="AA12:AC12"/>
    <mergeCell ref="AE11:AG11"/>
    <mergeCell ref="AE12:AG12"/>
    <mergeCell ref="AI11:AK11"/>
    <mergeCell ref="O12:U12"/>
    <mergeCell ref="O13:U13"/>
    <mergeCell ref="O14:U14"/>
    <mergeCell ref="W7:AA7"/>
    <mergeCell ref="AC7:AE7"/>
    <mergeCell ref="AI7:AK7"/>
    <mergeCell ref="AC8:AE8"/>
    <mergeCell ref="AI8:AK8"/>
    <mergeCell ref="W9:AG9"/>
    <mergeCell ref="K5:Q5"/>
    <mergeCell ref="O7:U7"/>
    <mergeCell ref="O8:U8"/>
    <mergeCell ref="O9:U9"/>
    <mergeCell ref="O10:U10"/>
    <mergeCell ref="O11:U11"/>
    <mergeCell ref="U3:AA3"/>
    <mergeCell ref="AC3:AE3"/>
    <mergeCell ref="AG3:AK3"/>
    <mergeCell ref="A7:M7"/>
    <mergeCell ref="A4:C4"/>
    <mergeCell ref="A43:U43"/>
    <mergeCell ref="A44:U44"/>
    <mergeCell ref="A3:C3"/>
    <mergeCell ref="E3:I3"/>
    <mergeCell ref="K3:M3"/>
    <mergeCell ref="Q3:S3"/>
    <mergeCell ref="A5:C5"/>
    <mergeCell ref="G5:I5"/>
    <mergeCell ref="C41:K41"/>
    <mergeCell ref="M16:Q16"/>
    <mergeCell ref="M17:Q17"/>
    <mergeCell ref="S16:U16"/>
    <mergeCell ref="S17:U17"/>
    <mergeCell ref="C17:K17"/>
    <mergeCell ref="C18:K18"/>
    <mergeCell ref="C35:K35"/>
    <mergeCell ref="C36:K36"/>
    <mergeCell ref="C37:K37"/>
    <mergeCell ref="C38:K38"/>
    <mergeCell ref="C39:K39"/>
    <mergeCell ref="C40:K40"/>
    <mergeCell ref="C29:K29"/>
    <mergeCell ref="C30:K30"/>
    <mergeCell ref="C31:K31"/>
    <mergeCell ref="A9:C9"/>
    <mergeCell ref="A10:C10"/>
    <mergeCell ref="A11:C11"/>
    <mergeCell ref="A12:C12"/>
    <mergeCell ref="A13:C13"/>
    <mergeCell ref="A14:C14"/>
    <mergeCell ref="C32:K32"/>
    <mergeCell ref="C33:K33"/>
    <mergeCell ref="C34:K34"/>
    <mergeCell ref="C23:K23"/>
    <mergeCell ref="C24:K24"/>
    <mergeCell ref="C25:K25"/>
    <mergeCell ref="C26:K26"/>
    <mergeCell ref="C27:K27"/>
    <mergeCell ref="C28:K28"/>
    <mergeCell ref="W33:AG33"/>
    <mergeCell ref="AI34:AK34"/>
    <mergeCell ref="AE34:AG34"/>
    <mergeCell ref="W34:AA34"/>
    <mergeCell ref="W35:AA35"/>
    <mergeCell ref="AI35:AK35"/>
    <mergeCell ref="AE35:AG35"/>
    <mergeCell ref="A16:K16"/>
    <mergeCell ref="C19:K19"/>
    <mergeCell ref="C20:K20"/>
    <mergeCell ref="C21:K21"/>
    <mergeCell ref="C22:K22"/>
    <mergeCell ref="AB26:AD26"/>
    <mergeCell ref="AA20:AC20"/>
    <mergeCell ref="AE20:AK20"/>
    <mergeCell ref="W22:AG22"/>
    <mergeCell ref="AE23:AG23"/>
    <mergeCell ref="AB23:AD23"/>
    <mergeCell ref="W28:AG28"/>
    <mergeCell ref="AE17:AG17"/>
    <mergeCell ref="AE18:AG18"/>
    <mergeCell ref="W17:AA17"/>
    <mergeCell ref="W18:AA18"/>
    <mergeCell ref="W19:AC19"/>
    <mergeCell ref="W36:Y36"/>
    <mergeCell ref="W37:Y37"/>
    <mergeCell ref="Z36:AB36"/>
    <mergeCell ref="AE36:AG36"/>
    <mergeCell ref="AI36:AK36"/>
    <mergeCell ref="AI37:AK37"/>
    <mergeCell ref="W38:AA38"/>
    <mergeCell ref="AE38:AG38"/>
    <mergeCell ref="AI38:AK38"/>
    <mergeCell ref="W39:AA39"/>
    <mergeCell ref="AE39:AG39"/>
    <mergeCell ref="AI39:AK39"/>
    <mergeCell ref="W40:Y40"/>
    <mergeCell ref="Z40:AB40"/>
    <mergeCell ref="AE40:AG40"/>
    <mergeCell ref="AI40:AK40"/>
    <mergeCell ref="W41:Y41"/>
    <mergeCell ref="AI41:AK41"/>
    <mergeCell ref="AE48:AG48"/>
    <mergeCell ref="AI48:AK48"/>
    <mergeCell ref="W42:AA42"/>
    <mergeCell ref="AE42:AG42"/>
    <mergeCell ref="AI42:AK42"/>
    <mergeCell ref="W43:AA43"/>
    <mergeCell ref="AE43:AG43"/>
    <mergeCell ref="AI43:AK43"/>
    <mergeCell ref="W44:Y44"/>
    <mergeCell ref="Z44:AB44"/>
    <mergeCell ref="AE44:AG44"/>
    <mergeCell ref="AI44:AK44"/>
    <mergeCell ref="AE52:AG52"/>
    <mergeCell ref="AI52:AK52"/>
    <mergeCell ref="W53:Y53"/>
    <mergeCell ref="AI53:AK53"/>
    <mergeCell ref="W49:Y49"/>
    <mergeCell ref="AI49:AK49"/>
    <mergeCell ref="A45:U45"/>
    <mergeCell ref="A46:U46"/>
    <mergeCell ref="A47:U47"/>
    <mergeCell ref="A48:U48"/>
    <mergeCell ref="A49:U49"/>
    <mergeCell ref="W50:AA50"/>
    <mergeCell ref="AE50:AG50"/>
    <mergeCell ref="AI50:AK50"/>
    <mergeCell ref="W45:Y45"/>
    <mergeCell ref="AI45:AK45"/>
    <mergeCell ref="W46:AA46"/>
    <mergeCell ref="AE46:AG46"/>
    <mergeCell ref="AI46:AK46"/>
    <mergeCell ref="W47:AA47"/>
    <mergeCell ref="AE47:AG47"/>
    <mergeCell ref="AI47:AK47"/>
    <mergeCell ref="W48:Y48"/>
    <mergeCell ref="Z48:AB48"/>
    <mergeCell ref="W59:Y59"/>
    <mergeCell ref="AA59:AK59"/>
    <mergeCell ref="W60:AK60"/>
    <mergeCell ref="W61:AK61"/>
    <mergeCell ref="W62:AK62"/>
    <mergeCell ref="AC5:AG5"/>
    <mergeCell ref="AI5:AK5"/>
    <mergeCell ref="W29:AA29"/>
    <mergeCell ref="W57:Y57"/>
    <mergeCell ref="W54:AG54"/>
    <mergeCell ref="W56:AA56"/>
    <mergeCell ref="W58:Y58"/>
    <mergeCell ref="AA57:AC57"/>
    <mergeCell ref="AA58:AC58"/>
    <mergeCell ref="AE57:AI57"/>
    <mergeCell ref="AE58:AI58"/>
    <mergeCell ref="W55:AA55"/>
    <mergeCell ref="AI55:AK55"/>
    <mergeCell ref="AI56:AK56"/>
    <mergeCell ref="W51:AA51"/>
    <mergeCell ref="AE51:AG51"/>
    <mergeCell ref="AI51:AK51"/>
    <mergeCell ref="W52:Y52"/>
    <mergeCell ref="Z52:AB52"/>
    <mergeCell ref="A53:K53"/>
    <mergeCell ref="A55:G55"/>
    <mergeCell ref="M55:Q55"/>
    <mergeCell ref="A56:G56"/>
    <mergeCell ref="A57:G57"/>
    <mergeCell ref="A58:G58"/>
    <mergeCell ref="A59:G59"/>
    <mergeCell ref="A60:G60"/>
    <mergeCell ref="A61:G61"/>
    <mergeCell ref="A50:K50"/>
    <mergeCell ref="M50:U50"/>
    <mergeCell ref="A51:E51"/>
    <mergeCell ref="G51:K51"/>
    <mergeCell ref="M51:Q51"/>
    <mergeCell ref="S51:U51"/>
    <mergeCell ref="A52:E52"/>
    <mergeCell ref="G52:K52"/>
    <mergeCell ref="M52:Q52"/>
    <mergeCell ref="S52:U52"/>
    <mergeCell ref="M64:Q64"/>
    <mergeCell ref="M65:Q65"/>
    <mergeCell ref="M66:Q66"/>
    <mergeCell ref="M67:Q67"/>
    <mergeCell ref="W63:AG63"/>
    <mergeCell ref="W64:AK64"/>
    <mergeCell ref="W65:AK65"/>
    <mergeCell ref="W66:AK66"/>
    <mergeCell ref="W67:AK67"/>
    <mergeCell ref="A69:C70"/>
    <mergeCell ref="E69:G70"/>
    <mergeCell ref="I69:K70"/>
    <mergeCell ref="M69:O70"/>
    <mergeCell ref="Q69:U69"/>
    <mergeCell ref="Q70:U70"/>
    <mergeCell ref="A71:E71"/>
    <mergeCell ref="G71:U71"/>
    <mergeCell ref="A1:G1"/>
    <mergeCell ref="I1:AK2"/>
    <mergeCell ref="A62:G62"/>
    <mergeCell ref="A63:G63"/>
    <mergeCell ref="A64:G64"/>
    <mergeCell ref="A65:G65"/>
    <mergeCell ref="A66:G66"/>
    <mergeCell ref="A67:G67"/>
    <mergeCell ref="M56:Q56"/>
    <mergeCell ref="M57:Q57"/>
    <mergeCell ref="M58:Q58"/>
    <mergeCell ref="M59:Q59"/>
    <mergeCell ref="M60:Q60"/>
    <mergeCell ref="M61:Q61"/>
    <mergeCell ref="M62:Q62"/>
    <mergeCell ref="M63:Q63"/>
    <mergeCell ref="A72:U72"/>
    <mergeCell ref="A73:U73"/>
    <mergeCell ref="W124:AG124"/>
    <mergeCell ref="W125:AK125"/>
    <mergeCell ref="W126:AK126"/>
    <mergeCell ref="W127:AK127"/>
    <mergeCell ref="W128:AK128"/>
    <mergeCell ref="W130:AK130"/>
    <mergeCell ref="W131:AK131"/>
    <mergeCell ref="A91:U91"/>
    <mergeCell ref="A92:U92"/>
    <mergeCell ref="A93:U93"/>
    <mergeCell ref="A94:U94"/>
    <mergeCell ref="A95:U95"/>
    <mergeCell ref="A96:U96"/>
    <mergeCell ref="A97:U97"/>
    <mergeCell ref="A98:U98"/>
    <mergeCell ref="A99:U99"/>
    <mergeCell ref="A100:U100"/>
    <mergeCell ref="A101:U101"/>
    <mergeCell ref="A102:U102"/>
    <mergeCell ref="A103:U103"/>
    <mergeCell ref="A104:U104"/>
    <mergeCell ref="A105:U105"/>
    <mergeCell ref="W132:AG132"/>
    <mergeCell ref="W129:AK129"/>
    <mergeCell ref="W133:Y134"/>
    <mergeCell ref="AA133:AC134"/>
    <mergeCell ref="AE133:AG134"/>
    <mergeCell ref="AI133:AK134"/>
    <mergeCell ref="A68:K68"/>
    <mergeCell ref="A74:K74"/>
    <mergeCell ref="A75:U75"/>
    <mergeCell ref="A76:U76"/>
    <mergeCell ref="A77:U77"/>
    <mergeCell ref="A78:U78"/>
    <mergeCell ref="A79:U79"/>
    <mergeCell ref="A80:U80"/>
    <mergeCell ref="A81:U81"/>
    <mergeCell ref="A82:U82"/>
    <mergeCell ref="A83:U83"/>
    <mergeCell ref="A84:U84"/>
    <mergeCell ref="A85:U85"/>
    <mergeCell ref="A86:U86"/>
    <mergeCell ref="A87:U87"/>
    <mergeCell ref="A88:U88"/>
    <mergeCell ref="A89:U89"/>
    <mergeCell ref="A90:U90"/>
    <mergeCell ref="A106:U106"/>
    <mergeCell ref="A107:U107"/>
    <mergeCell ref="A108:U108"/>
    <mergeCell ref="A109:K109"/>
    <mergeCell ref="A110:K110"/>
    <mergeCell ref="A111:K111"/>
    <mergeCell ref="A112:K112"/>
    <mergeCell ref="A113:K113"/>
    <mergeCell ref="A114:K114"/>
    <mergeCell ref="A132:K132"/>
    <mergeCell ref="A115:K115"/>
    <mergeCell ref="A116:K116"/>
    <mergeCell ref="A117:K117"/>
    <mergeCell ref="A118:K118"/>
    <mergeCell ref="A119:K119"/>
    <mergeCell ref="A120:K120"/>
    <mergeCell ref="A121:K121"/>
    <mergeCell ref="A122:K122"/>
    <mergeCell ref="A123:K123"/>
    <mergeCell ref="M129:U129"/>
    <mergeCell ref="M130:U130"/>
    <mergeCell ref="M131:U131"/>
    <mergeCell ref="A124:K124"/>
    <mergeCell ref="A125:K125"/>
    <mergeCell ref="A126:K126"/>
    <mergeCell ref="A127:K127"/>
    <mergeCell ref="A128:K128"/>
    <mergeCell ref="A129:K129"/>
    <mergeCell ref="A130:K130"/>
    <mergeCell ref="A131:K131"/>
    <mergeCell ref="M132:U132"/>
    <mergeCell ref="M133:U133"/>
    <mergeCell ref="M134:U134"/>
    <mergeCell ref="A133:K133"/>
    <mergeCell ref="A134:K134"/>
    <mergeCell ref="M110:U110"/>
    <mergeCell ref="M111:U111"/>
    <mergeCell ref="M112:U112"/>
    <mergeCell ref="M113:U113"/>
    <mergeCell ref="M114:U114"/>
    <mergeCell ref="M115:U115"/>
    <mergeCell ref="M116:U116"/>
    <mergeCell ref="M117:U117"/>
    <mergeCell ref="M118:U118"/>
    <mergeCell ref="M119:U119"/>
    <mergeCell ref="M120:U120"/>
    <mergeCell ref="M121:U121"/>
    <mergeCell ref="M122:U122"/>
    <mergeCell ref="M123:U123"/>
    <mergeCell ref="M124:U124"/>
    <mergeCell ref="M125:U125"/>
    <mergeCell ref="M126:U126"/>
    <mergeCell ref="M127:U127"/>
    <mergeCell ref="M128:U128"/>
  </mergeCells>
  <conditionalFormatting sqref="W13:AK13 W14 AB14:AK14">
    <cfRule type="cellIs" dxfId="5" priority="4" operator="equal">
      <formula>"UNCONSCIOUS"</formula>
    </cfRule>
    <cfRule type="containsText" dxfId="4" priority="5" operator="containsText" text="DEAD">
      <formula>NOT(ISERROR(SEARCH("DEAD",W13)))</formula>
    </cfRule>
    <cfRule type="cellIs" dxfId="3" priority="6" operator="equal">
      <formula>"UNCONSCIOUS OR DYING"</formula>
    </cfRule>
  </conditionalFormatting>
  <conditionalFormatting sqref="M50:U50">
    <cfRule type="cellIs" dxfId="2" priority="2" operator="equal">
      <formula>"OVERBURDENED"</formula>
    </cfRule>
    <cfRule type="cellIs" dxfId="1" priority="3" operator="equal">
      <formula>"ENCUMBERED"</formula>
    </cfRule>
  </conditionalFormatting>
  <conditionalFormatting sqref="S17:U17">
    <cfRule type="cellIs" dxfId="0" priority="1" operator="lessThan">
      <formula>0</formula>
    </cfRule>
  </conditionalFormatting>
  <dataValidations count="15">
    <dataValidation type="list" errorStyle="information" showErrorMessage="1" errorTitle="Invalid Class" error="You have tried to enter an invalid class. To enter a new class, go to the DATA sheet and modify one of the 6 custom classes available." sqref="E3:I3">
      <formula1>ClassesKeyAbilities</formula1>
    </dataValidation>
    <dataValidation type="list" showErrorMessage="1" errorTitle="Invalid Profession Type" error="You have tried to enter an invalid profession type. Please choose Profession CHA, INT or WIS." sqref="C34:K34 C36:K36">
      <formula1>ValidProffession</formula1>
    </dataValidation>
    <dataValidation type="list" errorStyle="information" showInputMessage="1" showErrorMessage="1" errorTitle="Invalid Race" error="You have tried to enter an invalid race. To enter a new race, go to the DATA sheet and modify one of the 6 custom races available." promptTitle="ANY Ability Points" prompt="For a race that puts points into ANY ability score (eg Humans), adjust the Raw Score (RS) as required." sqref="U3:AA3">
      <formula1>ValidRaces</formula1>
    </dataValidation>
    <dataValidation type="list" errorStyle="information" showInputMessage="1" showErrorMessage="1" errorTitle="Invalid Theme" error="You have tried to enter an invalid theme. To enter a new theme, go to the DATA sheet and modify one of the 6 custom themes available." promptTitle="ANY Ability Points" prompt="For a theme that puts points into ANY ability score (eg Themeless), adjust the Raw Score (RS) as required." sqref="AG3:AK3">
      <formula1>ValidThemes</formula1>
    </dataValidation>
    <dataValidation type="list" showInputMessage="1" promptTitle="Gender" prompt="Choose a Gender or type your own." sqref="S4">
      <formula1>ValidGenders</formula1>
    </dataValidation>
    <dataValidation type="list" errorStyle="warning" showErrorMessage="1" errorTitle="Invalid Key Ability" error="Please choose a valid Key Ability appropriate to your class." sqref="Y5:AA5">
      <formula1>INDIRECT($E$3)</formula1>
    </dataValidation>
    <dataValidation type="list" showErrorMessage="1" errorTitle="Invalid Base Save" error="Choose either Auto,  Poor or Good" sqref="AB24:AD24">
      <formula1>ValidBaseSaveFort</formula1>
    </dataValidation>
    <dataValidation type="list" showErrorMessage="1" errorTitle="Invalid Base Save" error="Choose either Auto,  Poor or Good" sqref="AB25:AD25">
      <formula1>ValidBaseSaveRef</formula1>
    </dataValidation>
    <dataValidation type="list" showErrorMessage="1" errorTitle="Invalid Base Save" error="Choose either Auto,  Poor or Good" sqref="AB26:AD26">
      <formula1>ValidBaseSaveWill</formula1>
    </dataValidation>
    <dataValidation type="list" showErrorMessage="1" errorTitle="Invalid Alignment" error="Please choose a valid alignment." sqref="E5">
      <formula1>ValidAlignment</formula1>
    </dataValidation>
    <dataValidation type="list" allowBlank="1" showErrorMessage="1" errorTitle="Invalid Size" error="Please pick a valid size." sqref="E4:G4">
      <formula1>ValidSize</formula1>
    </dataValidation>
    <dataValidation type="list" showInputMessage="1" promptTitle="Choose Bulk" prompt="Choose Bulk or enter a weight. L, - and blank are valid options." sqref="AK58">
      <formula1>ValidBulk</formula1>
    </dataValidation>
    <dataValidation type="list" showInputMessage="1" promptTitle="Negative Number" prompt="Must be 0 or a negative number. Can be left blank." sqref="W58:Y58">
      <formula1>ValidArmorCheckPenalty</formula1>
    </dataValidation>
    <dataValidation type="list" showInputMessage="1" promptTitle="Choose Bulk" prompt="Choose Bulk or enter a numrical weight. L and - are valid options." sqref="U55:U68 K55:K67">
      <formula1>ValidBulk</formula1>
    </dataValidation>
    <dataValidation allowBlank="1" showInputMessage="1" promptTitle="Customization" prompt="You can add a Custom Class, Race or Theme by altering the green cells in the DATA sheet for one of the 6 custom slots." sqref="I1:AK2"/>
  </dataValidations>
  <pageMargins left="0.7" right="0.7" top="0.75" bottom="0.75" header="0.3" footer="0.3"/>
  <pageSetup paperSize="9" orientation="portrait" horizontalDpi="0" verticalDpi="0" r:id="rId1"/>
  <ignoredErrors>
    <ignoredError sqref="AE25 S2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22</xdr:col>
                    <xdr:colOff>19050</xdr:colOff>
                    <xdr:row>69</xdr:row>
                    <xdr:rowOff>0</xdr:rowOff>
                  </from>
                  <to>
                    <xdr:col>23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22</xdr:col>
                    <xdr:colOff>19050</xdr:colOff>
                    <xdr:row>70</xdr:row>
                    <xdr:rowOff>0</xdr:rowOff>
                  </from>
                  <to>
                    <xdr:col>23</xdr:col>
                    <xdr:colOff>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22</xdr:col>
                    <xdr:colOff>19050</xdr:colOff>
                    <xdr:row>71</xdr:row>
                    <xdr:rowOff>0</xdr:rowOff>
                  </from>
                  <to>
                    <xdr:col>23</xdr:col>
                    <xdr:colOff>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22</xdr:col>
                    <xdr:colOff>19050</xdr:colOff>
                    <xdr:row>72</xdr:row>
                    <xdr:rowOff>0</xdr:rowOff>
                  </from>
                  <to>
                    <xdr:col>23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22</xdr:col>
                    <xdr:colOff>19050</xdr:colOff>
                    <xdr:row>73</xdr:row>
                    <xdr:rowOff>0</xdr:rowOff>
                  </from>
                  <to>
                    <xdr:col>23</xdr:col>
                    <xdr:colOff>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22</xdr:col>
                    <xdr:colOff>19050</xdr:colOff>
                    <xdr:row>74</xdr:row>
                    <xdr:rowOff>0</xdr:rowOff>
                  </from>
                  <to>
                    <xdr:col>23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22</xdr:col>
                    <xdr:colOff>19050</xdr:colOff>
                    <xdr:row>77</xdr:row>
                    <xdr:rowOff>0</xdr:rowOff>
                  </from>
                  <to>
                    <xdr:col>23</xdr:col>
                    <xdr:colOff>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22</xdr:col>
                    <xdr:colOff>19050</xdr:colOff>
                    <xdr:row>78</xdr:row>
                    <xdr:rowOff>0</xdr:rowOff>
                  </from>
                  <to>
                    <xdr:col>23</xdr:col>
                    <xdr:colOff>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22</xdr:col>
                    <xdr:colOff>19050</xdr:colOff>
                    <xdr:row>79</xdr:row>
                    <xdr:rowOff>0</xdr:rowOff>
                  </from>
                  <to>
                    <xdr:col>23</xdr:col>
                    <xdr:colOff>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22</xdr:col>
                    <xdr:colOff>19050</xdr:colOff>
                    <xdr:row>80</xdr:row>
                    <xdr:rowOff>0</xdr:rowOff>
                  </from>
                  <to>
                    <xdr:col>23</xdr:col>
                    <xdr:colOff>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>
                <anchor moveWithCells="1">
                  <from>
                    <xdr:col>22</xdr:col>
                    <xdr:colOff>19050</xdr:colOff>
                    <xdr:row>81</xdr:row>
                    <xdr:rowOff>0</xdr:rowOff>
                  </from>
                  <to>
                    <xdr:col>23</xdr:col>
                    <xdr:colOff>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22</xdr:col>
                    <xdr:colOff>19050</xdr:colOff>
                    <xdr:row>82</xdr:row>
                    <xdr:rowOff>0</xdr:rowOff>
                  </from>
                  <to>
                    <xdr:col>23</xdr:col>
                    <xdr:colOff>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22</xdr:col>
                    <xdr:colOff>19050</xdr:colOff>
                    <xdr:row>82</xdr:row>
                    <xdr:rowOff>0</xdr:rowOff>
                  </from>
                  <to>
                    <xdr:col>23</xdr:col>
                    <xdr:colOff>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22</xdr:col>
                    <xdr:colOff>19050</xdr:colOff>
                    <xdr:row>85</xdr:row>
                    <xdr:rowOff>0</xdr:rowOff>
                  </from>
                  <to>
                    <xdr:col>23</xdr:col>
                    <xdr:colOff>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22</xdr:col>
                    <xdr:colOff>19050</xdr:colOff>
                    <xdr:row>87</xdr:row>
                    <xdr:rowOff>0</xdr:rowOff>
                  </from>
                  <to>
                    <xdr:col>23</xdr:col>
                    <xdr:colOff>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22</xdr:col>
                    <xdr:colOff>19050</xdr:colOff>
                    <xdr:row>88</xdr:row>
                    <xdr:rowOff>0</xdr:rowOff>
                  </from>
                  <to>
                    <xdr:col>23</xdr:col>
                    <xdr:colOff>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22</xdr:col>
                    <xdr:colOff>19050</xdr:colOff>
                    <xdr:row>89</xdr:row>
                    <xdr:rowOff>0</xdr:rowOff>
                  </from>
                  <to>
                    <xdr:col>23</xdr:col>
                    <xdr:colOff>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22</xdr:col>
                    <xdr:colOff>19050</xdr:colOff>
                    <xdr:row>90</xdr:row>
                    <xdr:rowOff>0</xdr:rowOff>
                  </from>
                  <to>
                    <xdr:col>23</xdr:col>
                    <xdr:colOff>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22</xdr:col>
                    <xdr:colOff>19050</xdr:colOff>
                    <xdr:row>86</xdr:row>
                    <xdr:rowOff>0</xdr:rowOff>
                  </from>
                  <to>
                    <xdr:col>23</xdr:col>
                    <xdr:colOff>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22</xdr:col>
                    <xdr:colOff>19050</xdr:colOff>
                    <xdr:row>90</xdr:row>
                    <xdr:rowOff>0</xdr:rowOff>
                  </from>
                  <to>
                    <xdr:col>23</xdr:col>
                    <xdr:colOff>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22</xdr:col>
                    <xdr:colOff>19050</xdr:colOff>
                    <xdr:row>90</xdr:row>
                    <xdr:rowOff>0</xdr:rowOff>
                  </from>
                  <to>
                    <xdr:col>23</xdr:col>
                    <xdr:colOff>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22</xdr:col>
                    <xdr:colOff>19050</xdr:colOff>
                    <xdr:row>93</xdr:row>
                    <xdr:rowOff>0</xdr:rowOff>
                  </from>
                  <to>
                    <xdr:col>23</xdr:col>
                    <xdr:colOff>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Check Box 43">
              <controlPr defaultSize="0" autoFill="0" autoLine="0" autoPict="0">
                <anchor moveWithCells="1">
                  <from>
                    <xdr:col>22</xdr:col>
                    <xdr:colOff>19050</xdr:colOff>
                    <xdr:row>96</xdr:row>
                    <xdr:rowOff>0</xdr:rowOff>
                  </from>
                  <to>
                    <xdr:col>23</xdr:col>
                    <xdr:colOff>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22</xdr:col>
                    <xdr:colOff>19050</xdr:colOff>
                    <xdr:row>97</xdr:row>
                    <xdr:rowOff>0</xdr:rowOff>
                  </from>
                  <to>
                    <xdr:col>23</xdr:col>
                    <xdr:colOff>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8" name="Check Box 45">
              <controlPr defaultSize="0" autoFill="0" autoLine="0" autoPict="0">
                <anchor moveWithCells="1">
                  <from>
                    <xdr:col>22</xdr:col>
                    <xdr:colOff>19050</xdr:colOff>
                    <xdr:row>98</xdr:row>
                    <xdr:rowOff>0</xdr:rowOff>
                  </from>
                  <to>
                    <xdr:col>23</xdr:col>
                    <xdr:colOff>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9" name="Check Box 46">
              <controlPr defaultSize="0" autoFill="0" autoLine="0" autoPict="0">
                <anchor moveWithCells="1">
                  <from>
                    <xdr:col>22</xdr:col>
                    <xdr:colOff>19050</xdr:colOff>
                    <xdr:row>94</xdr:row>
                    <xdr:rowOff>0</xdr:rowOff>
                  </from>
                  <to>
                    <xdr:col>23</xdr:col>
                    <xdr:colOff>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0" name="Check Box 47">
              <controlPr defaultSize="0" autoFill="0" autoLine="0" autoPict="0">
                <anchor moveWithCells="1">
                  <from>
                    <xdr:col>22</xdr:col>
                    <xdr:colOff>19050</xdr:colOff>
                    <xdr:row>95</xdr:row>
                    <xdr:rowOff>0</xdr:rowOff>
                  </from>
                  <to>
                    <xdr:col>23</xdr:col>
                    <xdr:colOff>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1" name="Check Box 49">
              <controlPr defaultSize="0" autoFill="0" autoLine="0" autoPict="0">
                <anchor moveWithCells="1">
                  <from>
                    <xdr:col>22</xdr:col>
                    <xdr:colOff>19050</xdr:colOff>
                    <xdr:row>98</xdr:row>
                    <xdr:rowOff>0</xdr:rowOff>
                  </from>
                  <to>
                    <xdr:col>23</xdr:col>
                    <xdr:colOff>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2" name="Check Box 50">
              <controlPr defaultSize="0" autoFill="0" autoLine="0" autoPict="0">
                <anchor moveWithCells="1">
                  <from>
                    <xdr:col>22</xdr:col>
                    <xdr:colOff>19050</xdr:colOff>
                    <xdr:row>98</xdr:row>
                    <xdr:rowOff>0</xdr:rowOff>
                  </from>
                  <to>
                    <xdr:col>23</xdr:col>
                    <xdr:colOff>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3" name="Check Box 51">
              <controlPr defaultSize="0" autoFill="0" autoLine="0" autoPict="0">
                <anchor moveWithCells="1">
                  <from>
                    <xdr:col>22</xdr:col>
                    <xdr:colOff>19050</xdr:colOff>
                    <xdr:row>98</xdr:row>
                    <xdr:rowOff>0</xdr:rowOff>
                  </from>
                  <to>
                    <xdr:col>23</xdr:col>
                    <xdr:colOff>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Check Box 52">
              <controlPr defaultSize="0" autoFill="0" autoLine="0" autoPict="0">
                <anchor moveWithCells="1">
                  <from>
                    <xdr:col>22</xdr:col>
                    <xdr:colOff>19050</xdr:colOff>
                    <xdr:row>101</xdr:row>
                    <xdr:rowOff>0</xdr:rowOff>
                  </from>
                  <to>
                    <xdr:col>23</xdr:col>
                    <xdr:colOff>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Check Box 53">
              <controlPr defaultSize="0" autoFill="0" autoLine="0" autoPict="0">
                <anchor moveWithCells="1">
                  <from>
                    <xdr:col>22</xdr:col>
                    <xdr:colOff>19050</xdr:colOff>
                    <xdr:row>104</xdr:row>
                    <xdr:rowOff>0</xdr:rowOff>
                  </from>
                  <to>
                    <xdr:col>23</xdr:col>
                    <xdr:colOff>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6" name="Check Box 54">
              <controlPr defaultSize="0" autoFill="0" autoLine="0" autoPict="0">
                <anchor moveWithCells="1">
                  <from>
                    <xdr:col>22</xdr:col>
                    <xdr:colOff>19050</xdr:colOff>
                    <xdr:row>105</xdr:row>
                    <xdr:rowOff>0</xdr:rowOff>
                  </from>
                  <to>
                    <xdr:col>23</xdr:col>
                    <xdr:colOff>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7" name="Check Box 55">
              <controlPr defaultSize="0" autoFill="0" autoLine="0" autoPict="0">
                <anchor moveWithCells="1">
                  <from>
                    <xdr:col>22</xdr:col>
                    <xdr:colOff>19050</xdr:colOff>
                    <xdr:row>106</xdr:row>
                    <xdr:rowOff>0</xdr:rowOff>
                  </from>
                  <to>
                    <xdr:col>23</xdr:col>
                    <xdr:colOff>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8" name="Check Box 56">
              <controlPr defaultSize="0" autoFill="0" autoLine="0" autoPict="0">
                <anchor moveWithCells="1">
                  <from>
                    <xdr:col>22</xdr:col>
                    <xdr:colOff>19050</xdr:colOff>
                    <xdr:row>102</xdr:row>
                    <xdr:rowOff>0</xdr:rowOff>
                  </from>
                  <to>
                    <xdr:col>23</xdr:col>
                    <xdr:colOff>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9" name="Check Box 60">
              <controlPr defaultSize="0" autoFill="0" autoLine="0" autoPict="0">
                <anchor moveWithCells="1">
                  <from>
                    <xdr:col>22</xdr:col>
                    <xdr:colOff>19050</xdr:colOff>
                    <xdr:row>103</xdr:row>
                    <xdr:rowOff>0</xdr:rowOff>
                  </from>
                  <to>
                    <xdr:col>23</xdr:col>
                    <xdr:colOff>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0" name="Check Box 61">
              <controlPr defaultSize="0" autoFill="0" autoLine="0" autoPict="0">
                <anchor moveWithCells="1">
                  <from>
                    <xdr:col>22</xdr:col>
                    <xdr:colOff>19050</xdr:colOff>
                    <xdr:row>106</xdr:row>
                    <xdr:rowOff>0</xdr:rowOff>
                  </from>
                  <to>
                    <xdr:col>23</xdr:col>
                    <xdr:colOff>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1" name="Check Box 62">
              <controlPr defaultSize="0" autoFill="0" autoLine="0" autoPict="0">
                <anchor moveWithCells="1">
                  <from>
                    <xdr:col>22</xdr:col>
                    <xdr:colOff>19050</xdr:colOff>
                    <xdr:row>106</xdr:row>
                    <xdr:rowOff>0</xdr:rowOff>
                  </from>
                  <to>
                    <xdr:col>23</xdr:col>
                    <xdr:colOff>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2" name="Check Box 63">
              <controlPr defaultSize="0" autoFill="0" autoLine="0" autoPict="0">
                <anchor moveWithCells="1">
                  <from>
                    <xdr:col>22</xdr:col>
                    <xdr:colOff>19050</xdr:colOff>
                    <xdr:row>106</xdr:row>
                    <xdr:rowOff>0</xdr:rowOff>
                  </from>
                  <to>
                    <xdr:col>23</xdr:col>
                    <xdr:colOff>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3" name="Check Box 64">
              <controlPr defaultSize="0" autoFill="0" autoLine="0" autoPict="0">
                <anchor moveWithCells="1">
                  <from>
                    <xdr:col>22</xdr:col>
                    <xdr:colOff>19050</xdr:colOff>
                    <xdr:row>106</xdr:row>
                    <xdr:rowOff>0</xdr:rowOff>
                  </from>
                  <to>
                    <xdr:col>23</xdr:col>
                    <xdr:colOff>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4" name="Check Box 65">
              <controlPr defaultSize="0" autoFill="0" autoLine="0" autoPict="0">
                <anchor moveWithCells="1">
                  <from>
                    <xdr:col>22</xdr:col>
                    <xdr:colOff>19050</xdr:colOff>
                    <xdr:row>109</xdr:row>
                    <xdr:rowOff>0</xdr:rowOff>
                  </from>
                  <to>
                    <xdr:col>23</xdr:col>
                    <xdr:colOff>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5" name="Check Box 66">
              <controlPr defaultSize="0" autoFill="0" autoLine="0" autoPict="0">
                <anchor moveWithCells="1">
                  <from>
                    <xdr:col>22</xdr:col>
                    <xdr:colOff>19050</xdr:colOff>
                    <xdr:row>112</xdr:row>
                    <xdr:rowOff>0</xdr:rowOff>
                  </from>
                  <to>
                    <xdr:col>23</xdr:col>
                    <xdr:colOff>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6" name="Check Box 67">
              <controlPr defaultSize="0" autoFill="0" autoLine="0" autoPict="0">
                <anchor moveWithCells="1">
                  <from>
                    <xdr:col>22</xdr:col>
                    <xdr:colOff>19050</xdr:colOff>
                    <xdr:row>113</xdr:row>
                    <xdr:rowOff>0</xdr:rowOff>
                  </from>
                  <to>
                    <xdr:col>23</xdr:col>
                    <xdr:colOff>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7" name="Check Box 68">
              <controlPr defaultSize="0" autoFill="0" autoLine="0" autoPict="0">
                <anchor moveWithCells="1">
                  <from>
                    <xdr:col>22</xdr:col>
                    <xdr:colOff>19050</xdr:colOff>
                    <xdr:row>114</xdr:row>
                    <xdr:rowOff>0</xdr:rowOff>
                  </from>
                  <to>
                    <xdr:col>23</xdr:col>
                    <xdr:colOff>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8" name="Check Box 69">
              <controlPr defaultSize="0" autoFill="0" autoLine="0" autoPict="0">
                <anchor moveWithCells="1">
                  <from>
                    <xdr:col>22</xdr:col>
                    <xdr:colOff>19050</xdr:colOff>
                    <xdr:row>110</xdr:row>
                    <xdr:rowOff>0</xdr:rowOff>
                  </from>
                  <to>
                    <xdr:col>23</xdr:col>
                    <xdr:colOff>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9" name="Check Box 72">
              <controlPr defaultSize="0" autoFill="0" autoLine="0" autoPict="0">
                <anchor moveWithCells="1">
                  <from>
                    <xdr:col>22</xdr:col>
                    <xdr:colOff>19050</xdr:colOff>
                    <xdr:row>111</xdr:row>
                    <xdr:rowOff>0</xdr:rowOff>
                  </from>
                  <to>
                    <xdr:col>23</xdr:col>
                    <xdr:colOff>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0" name="Check Box 73">
              <controlPr defaultSize="0" autoFill="0" autoLine="0" autoPict="0">
                <anchor moveWithCells="1">
                  <from>
                    <xdr:col>22</xdr:col>
                    <xdr:colOff>19050</xdr:colOff>
                    <xdr:row>114</xdr:row>
                    <xdr:rowOff>0</xdr:rowOff>
                  </from>
                  <to>
                    <xdr:col>23</xdr:col>
                    <xdr:colOff>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1" name="Check Box 74">
              <controlPr defaultSize="0" autoFill="0" autoLine="0" autoPict="0">
                <anchor moveWithCells="1">
                  <from>
                    <xdr:col>22</xdr:col>
                    <xdr:colOff>19050</xdr:colOff>
                    <xdr:row>114</xdr:row>
                    <xdr:rowOff>0</xdr:rowOff>
                  </from>
                  <to>
                    <xdr:col>23</xdr:col>
                    <xdr:colOff>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2" name="Check Box 75">
              <controlPr defaultSize="0" autoFill="0" autoLine="0" autoPict="0">
                <anchor moveWithCells="1">
                  <from>
                    <xdr:col>22</xdr:col>
                    <xdr:colOff>19050</xdr:colOff>
                    <xdr:row>114</xdr:row>
                    <xdr:rowOff>0</xdr:rowOff>
                  </from>
                  <to>
                    <xdr:col>23</xdr:col>
                    <xdr:colOff>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3" name="Check Box 76">
              <controlPr defaultSize="0" autoFill="0" autoLine="0" autoPict="0">
                <anchor moveWithCells="1">
                  <from>
                    <xdr:col>22</xdr:col>
                    <xdr:colOff>19050</xdr:colOff>
                    <xdr:row>114</xdr:row>
                    <xdr:rowOff>0</xdr:rowOff>
                  </from>
                  <to>
                    <xdr:col>23</xdr:col>
                    <xdr:colOff>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4" name="Check Box 77">
              <controlPr defaultSize="0" autoFill="0" autoLine="0" autoPict="0">
                <anchor moveWithCells="1">
                  <from>
                    <xdr:col>22</xdr:col>
                    <xdr:colOff>19050</xdr:colOff>
                    <xdr:row>114</xdr:row>
                    <xdr:rowOff>0</xdr:rowOff>
                  </from>
                  <to>
                    <xdr:col>23</xdr:col>
                    <xdr:colOff>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5" name="Check Box 78">
              <controlPr defaultSize="0" autoFill="0" autoLine="0" autoPict="0">
                <anchor moveWithCells="1">
                  <from>
                    <xdr:col>22</xdr:col>
                    <xdr:colOff>19050</xdr:colOff>
                    <xdr:row>117</xdr:row>
                    <xdr:rowOff>0</xdr:rowOff>
                  </from>
                  <to>
                    <xdr:col>23</xdr:col>
                    <xdr:colOff>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6" name="Check Box 79">
              <controlPr defaultSize="0" autoFill="0" autoLine="0" autoPict="0">
                <anchor moveWithCells="1">
                  <from>
                    <xdr:col>22</xdr:col>
                    <xdr:colOff>19050</xdr:colOff>
                    <xdr:row>120</xdr:row>
                    <xdr:rowOff>0</xdr:rowOff>
                  </from>
                  <to>
                    <xdr:col>23</xdr:col>
                    <xdr:colOff>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7" name="Check Box 80">
              <controlPr defaultSize="0" autoFill="0" autoLine="0" autoPict="0">
                <anchor moveWithCells="1">
                  <from>
                    <xdr:col>22</xdr:col>
                    <xdr:colOff>19050</xdr:colOff>
                    <xdr:row>121</xdr:row>
                    <xdr:rowOff>0</xdr:rowOff>
                  </from>
                  <to>
                    <xdr:col>23</xdr:col>
                    <xdr:colOff>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8" name="Check Box 81">
              <controlPr defaultSize="0" autoFill="0" autoLine="0" autoPict="0">
                <anchor moveWithCells="1">
                  <from>
                    <xdr:col>22</xdr:col>
                    <xdr:colOff>19050</xdr:colOff>
                    <xdr:row>122</xdr:row>
                    <xdr:rowOff>0</xdr:rowOff>
                  </from>
                  <to>
                    <xdr:col>23</xdr:col>
                    <xdr:colOff>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9" name="Check Box 82">
              <controlPr defaultSize="0" autoFill="0" autoLine="0" autoPict="0">
                <anchor moveWithCells="1">
                  <from>
                    <xdr:col>22</xdr:col>
                    <xdr:colOff>19050</xdr:colOff>
                    <xdr:row>118</xdr:row>
                    <xdr:rowOff>0</xdr:rowOff>
                  </from>
                  <to>
                    <xdr:col>23</xdr:col>
                    <xdr:colOff>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0" name="Check Box 84">
              <controlPr defaultSize="0" autoFill="0" autoLine="0" autoPict="0">
                <anchor moveWithCells="1">
                  <from>
                    <xdr:col>22</xdr:col>
                    <xdr:colOff>19050</xdr:colOff>
                    <xdr:row>119</xdr:row>
                    <xdr:rowOff>0</xdr:rowOff>
                  </from>
                  <to>
                    <xdr:col>23</xdr:col>
                    <xdr:colOff>0</xdr:colOff>
                    <xdr:row>120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OrEqual" allowBlank="1" showErrorMessage="1" errorTitle="Skill Ranks" error="Insufficient Skill Ranks available or too many skill ranks in a skill for character level.">
          <x14:formula1>
            <xm:f>DATA!H$3</xm:f>
          </x14:formula1>
          <xm:sqref>O19:O41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opLeftCell="A58" workbookViewId="0">
      <selection activeCell="M72" sqref="M72"/>
    </sheetView>
  </sheetViews>
  <sheetFormatPr defaultRowHeight="15" x14ac:dyDescent="0.25"/>
  <cols>
    <col min="1" max="1" width="14.140625" bestFit="1" customWidth="1"/>
    <col min="4" max="4" width="6.28515625" bestFit="1" customWidth="1"/>
    <col min="5" max="5" width="9.42578125" bestFit="1" customWidth="1"/>
    <col min="6" max="6" width="6.7109375" bestFit="1" customWidth="1"/>
    <col min="7" max="7" width="11" bestFit="1" customWidth="1"/>
    <col min="8" max="8" width="8.5703125" customWidth="1"/>
    <col min="9" max="9" width="9.42578125" customWidth="1"/>
    <col min="10" max="10" width="10" customWidth="1"/>
  </cols>
  <sheetData>
    <row r="1" spans="1:28" ht="15.75" thickBot="1" x14ac:dyDescent="0.3">
      <c r="A1" s="181" t="s">
        <v>6</v>
      </c>
      <c r="B1" s="181"/>
      <c r="C1" s="181"/>
      <c r="E1" t="s">
        <v>106</v>
      </c>
    </row>
    <row r="2" spans="1:28" x14ac:dyDescent="0.25">
      <c r="A2" s="81" t="s">
        <v>0</v>
      </c>
      <c r="B2" s="69">
        <f>IF(CharacterSheet!K9="",CharacterSheet!G9,CharacterSheet!K9)</f>
        <v>0</v>
      </c>
      <c r="C2" s="1">
        <f>IF(B2=9,INT((B2-10)/2-0.5),INT((B2-10)/2))</f>
        <v>-5</v>
      </c>
      <c r="E2" t="s">
        <v>13</v>
      </c>
      <c r="G2" s="180" t="s">
        <v>223</v>
      </c>
      <c r="H2" s="180"/>
      <c r="I2" s="180"/>
    </row>
    <row r="3" spans="1:28" x14ac:dyDescent="0.25">
      <c r="A3" s="82" t="s">
        <v>1</v>
      </c>
      <c r="B3" s="69">
        <f>IF(CharacterSheet!K10="",CharacterSheet!G10,CharacterSheet!K10)</f>
        <v>0</v>
      </c>
      <c r="C3" s="2">
        <f t="shared" ref="C3:C7" si="0">IF(B3=9,INT((B3-10)/2-0.5),INT((B3-10)/2))</f>
        <v>-5</v>
      </c>
      <c r="E3" t="s">
        <v>110</v>
      </c>
      <c r="G3" s="69">
        <f>IF(CharacterSheet!S17&gt;=0,999999,-1)</f>
        <v>999999</v>
      </c>
      <c r="H3" s="69">
        <f>IF(AND(G3=999999,I3=TRUE),999999,-1)</f>
        <v>999999</v>
      </c>
      <c r="I3" s="70" t="b">
        <f>AND(CharacterSheet!O19&lt;=CharacterSheet!O3,CharacterSheet!O20&lt;=CharacterSheet!O3,CharacterSheet!O21&lt;=CharacterSheet!O3,CharacterSheet!O22&lt;=CharacterSheet!O3,CharacterSheet!O23&lt;=CharacterSheet!O3,CharacterSheet!O24&lt;=CharacterSheet!O3,CharacterSheet!O25&lt;=CharacterSheet!O3,CharacterSheet!O26&lt;=CharacterSheet!O3,CharacterSheet!O27&lt;=CharacterSheet!O3,CharacterSheet!O28&lt;=CharacterSheet!O3,CharacterSheet!O29&lt;=CharacterSheet!O3,CharacterSheet!O30&lt;=CharacterSheet!O3,CharacterSheet!O31&lt;=CharacterSheet!O3,CharacterSheet!O32&lt;=CharacterSheet!O3,CharacterSheet!O33&lt;=CharacterSheet!O3,CharacterSheet!O35&lt;=CharacterSheet!O3,CharacterSheet!O37&lt;=CharacterSheet!O3,CharacterSheet!O38&lt;=CharacterSheet!O3,CharacterSheet!O39&lt;=CharacterSheet!O3,CharacterSheet!O40&lt;=CharacterSheet!O3,CharacterSheet!O41&lt;=CharacterSheet!O3)</f>
        <v>1</v>
      </c>
    </row>
    <row r="4" spans="1:28" x14ac:dyDescent="0.25">
      <c r="A4" s="82" t="s">
        <v>2</v>
      </c>
      <c r="B4" s="69">
        <f>IF(CharacterSheet!K11="",CharacterSheet!G11,CharacterSheet!K11)</f>
        <v>0</v>
      </c>
      <c r="C4" s="2">
        <f t="shared" si="0"/>
        <v>-5</v>
      </c>
      <c r="E4" t="s">
        <v>111</v>
      </c>
    </row>
    <row r="5" spans="1:28" x14ac:dyDescent="0.25">
      <c r="A5" s="82" t="s">
        <v>3</v>
      </c>
      <c r="B5" s="69">
        <f>IF(CharacterSheet!K12="",CharacterSheet!G12,CharacterSheet!K12)</f>
        <v>0</v>
      </c>
      <c r="C5" s="2">
        <f t="shared" si="0"/>
        <v>-5</v>
      </c>
    </row>
    <row r="6" spans="1:28" x14ac:dyDescent="0.25">
      <c r="A6" s="82" t="s">
        <v>4</v>
      </c>
      <c r="B6" s="69">
        <f>IF(CharacterSheet!K13="",CharacterSheet!G13,CharacterSheet!K13)</f>
        <v>0</v>
      </c>
      <c r="C6" s="2">
        <f t="shared" si="0"/>
        <v>-5</v>
      </c>
    </row>
    <row r="7" spans="1:28" ht="15.75" thickBot="1" x14ac:dyDescent="0.3">
      <c r="A7" s="83" t="s">
        <v>5</v>
      </c>
      <c r="B7" s="69">
        <f>IF(CharacterSheet!K14="",CharacterSheet!G14,CharacterSheet!K14)</f>
        <v>1</v>
      </c>
      <c r="C7" s="3">
        <f t="shared" si="0"/>
        <v>-5</v>
      </c>
    </row>
    <row r="9" spans="1:28" ht="15.75" thickBot="1" x14ac:dyDescent="0.3">
      <c r="A9" s="180" t="s">
        <v>58</v>
      </c>
      <c r="B9" s="180"/>
      <c r="C9" s="180"/>
      <c r="D9" s="188" t="s">
        <v>236</v>
      </c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90"/>
      <c r="V9" s="180" t="s">
        <v>224</v>
      </c>
      <c r="W9" s="180"/>
      <c r="Y9" s="180" t="s">
        <v>225</v>
      </c>
      <c r="Z9" s="180"/>
      <c r="AA9" s="180"/>
    </row>
    <row r="10" spans="1:28" ht="15.75" thickBot="1" x14ac:dyDescent="0.3">
      <c r="A10" s="23" t="s">
        <v>60</v>
      </c>
      <c r="B10" s="24" t="s">
        <v>22</v>
      </c>
      <c r="C10" s="25" t="s">
        <v>23</v>
      </c>
      <c r="D10" s="25" t="s">
        <v>24</v>
      </c>
      <c r="E10" s="25" t="s">
        <v>61</v>
      </c>
      <c r="F10" s="25" t="s">
        <v>62</v>
      </c>
      <c r="G10" s="25" t="s">
        <v>27</v>
      </c>
      <c r="H10" s="25" t="s">
        <v>28</v>
      </c>
      <c r="I10" s="25" t="s">
        <v>63</v>
      </c>
      <c r="J10" s="25" t="s">
        <v>30</v>
      </c>
      <c r="K10" s="25" t="s">
        <v>64</v>
      </c>
      <c r="L10" s="25" t="s">
        <v>65</v>
      </c>
      <c r="M10" s="25" t="s">
        <v>66</v>
      </c>
      <c r="N10" s="25" t="s">
        <v>34</v>
      </c>
      <c r="O10" s="25" t="s">
        <v>67</v>
      </c>
      <c r="P10" s="25" t="s">
        <v>36</v>
      </c>
      <c r="Q10" s="25" t="s">
        <v>37</v>
      </c>
      <c r="R10" s="25" t="s">
        <v>68</v>
      </c>
      <c r="S10" s="25" t="s">
        <v>40</v>
      </c>
      <c r="T10" s="25" t="s">
        <v>38</v>
      </c>
      <c r="U10" s="39" t="s">
        <v>69</v>
      </c>
      <c r="V10" s="18" t="s">
        <v>75</v>
      </c>
      <c r="W10" s="18" t="s">
        <v>76</v>
      </c>
      <c r="X10" s="18" t="s">
        <v>77</v>
      </c>
      <c r="Y10" s="18" t="s">
        <v>159</v>
      </c>
      <c r="Z10" s="18" t="s">
        <v>160</v>
      </c>
      <c r="AA10" s="18" t="s">
        <v>132</v>
      </c>
      <c r="AB10" s="18" t="s">
        <v>140</v>
      </c>
    </row>
    <row r="11" spans="1:28" x14ac:dyDescent="0.25">
      <c r="A11" s="26" t="s">
        <v>45</v>
      </c>
      <c r="B11" s="27" t="s">
        <v>70</v>
      </c>
      <c r="C11" s="28" t="s">
        <v>70</v>
      </c>
      <c r="D11" s="28" t="s">
        <v>70</v>
      </c>
      <c r="E11" s="28" t="s">
        <v>70</v>
      </c>
      <c r="F11" s="28" t="s">
        <v>70</v>
      </c>
      <c r="G11" s="28" t="s">
        <v>70</v>
      </c>
      <c r="H11" s="28" t="s">
        <v>70</v>
      </c>
      <c r="I11" s="28" t="s">
        <v>70</v>
      </c>
      <c r="J11" s="28" t="s">
        <v>70</v>
      </c>
      <c r="K11" s="28" t="s">
        <v>71</v>
      </c>
      <c r="L11" s="28" t="s">
        <v>70</v>
      </c>
      <c r="M11" s="28" t="s">
        <v>71</v>
      </c>
      <c r="N11" s="28" t="s">
        <v>70</v>
      </c>
      <c r="O11" s="28" t="s">
        <v>71</v>
      </c>
      <c r="P11" s="28" t="s">
        <v>70</v>
      </c>
      <c r="Q11" s="28" t="s">
        <v>70</v>
      </c>
      <c r="R11" s="28" t="s">
        <v>70</v>
      </c>
      <c r="S11" s="28" t="s">
        <v>70</v>
      </c>
      <c r="T11" s="28" t="s">
        <v>71</v>
      </c>
      <c r="U11" s="40" t="s">
        <v>70</v>
      </c>
      <c r="V11" s="20">
        <v>6</v>
      </c>
      <c r="W11" s="20">
        <v>6</v>
      </c>
      <c r="X11" s="20">
        <v>8</v>
      </c>
      <c r="Y11" s="20">
        <f>B65</f>
        <v>0</v>
      </c>
      <c r="Z11" s="20">
        <f>E66</f>
        <v>2</v>
      </c>
      <c r="AA11" s="20">
        <f>H66</f>
        <v>2</v>
      </c>
      <c r="AB11" s="62">
        <f>INT(CharacterSheet!O3*0.75)</f>
        <v>0</v>
      </c>
    </row>
    <row r="12" spans="1:28" x14ac:dyDescent="0.25">
      <c r="A12" s="29" t="s">
        <v>46</v>
      </c>
      <c r="B12" s="30" t="s">
        <v>71</v>
      </c>
      <c r="C12" s="19" t="s">
        <v>70</v>
      </c>
      <c r="D12" s="19" t="s">
        <v>71</v>
      </c>
      <c r="E12" s="19" t="s">
        <v>70</v>
      </c>
      <c r="F12" s="19" t="s">
        <v>71</v>
      </c>
      <c r="G12" s="19" t="s">
        <v>71</v>
      </c>
      <c r="H12" s="19" t="s">
        <v>71</v>
      </c>
      <c r="I12" s="19" t="s">
        <v>70</v>
      </c>
      <c r="J12" s="19" t="s">
        <v>71</v>
      </c>
      <c r="K12" s="19" t="s">
        <v>71</v>
      </c>
      <c r="L12" s="19" t="s">
        <v>70</v>
      </c>
      <c r="M12" s="19" t="s">
        <v>71</v>
      </c>
      <c r="N12" s="19" t="s">
        <v>70</v>
      </c>
      <c r="O12" s="19" t="s">
        <v>70</v>
      </c>
      <c r="P12" s="19" t="s">
        <v>70</v>
      </c>
      <c r="Q12" s="19" t="s">
        <v>71</v>
      </c>
      <c r="R12" s="19" t="s">
        <v>71</v>
      </c>
      <c r="S12" s="19" t="s">
        <v>71</v>
      </c>
      <c r="T12" s="19" t="s">
        <v>71</v>
      </c>
      <c r="U12" s="41" t="s">
        <v>70</v>
      </c>
      <c r="V12" s="22">
        <v>6</v>
      </c>
      <c r="W12" s="22">
        <v>6</v>
      </c>
      <c r="X12" s="22">
        <v>4</v>
      </c>
      <c r="Y12" s="20">
        <f>B66</f>
        <v>2</v>
      </c>
      <c r="Z12" s="20">
        <f>E66</f>
        <v>2</v>
      </c>
      <c r="AA12" s="20">
        <f>H65</f>
        <v>0</v>
      </c>
      <c r="AB12" s="62">
        <f>INT(CharacterSheet!O3*0.75)</f>
        <v>0</v>
      </c>
    </row>
    <row r="13" spans="1:28" x14ac:dyDescent="0.25">
      <c r="A13" s="31" t="s">
        <v>47</v>
      </c>
      <c r="B13" s="32" t="s">
        <v>71</v>
      </c>
      <c r="C13" s="18" t="s">
        <v>71</v>
      </c>
      <c r="D13" s="18" t="s">
        <v>70</v>
      </c>
      <c r="E13" s="18" t="s">
        <v>71</v>
      </c>
      <c r="F13" s="18" t="s">
        <v>70</v>
      </c>
      <c r="G13" s="18" t="s">
        <v>70</v>
      </c>
      <c r="H13" s="18" t="s">
        <v>70</v>
      </c>
      <c r="I13" s="18" t="s">
        <v>71</v>
      </c>
      <c r="J13" s="18" t="s">
        <v>70</v>
      </c>
      <c r="K13" s="18" t="s">
        <v>70</v>
      </c>
      <c r="L13" s="18" t="s">
        <v>70</v>
      </c>
      <c r="M13" s="18" t="s">
        <v>70</v>
      </c>
      <c r="N13" s="18" t="s">
        <v>70</v>
      </c>
      <c r="O13" s="18" t="s">
        <v>71</v>
      </c>
      <c r="P13" s="18" t="s">
        <v>71</v>
      </c>
      <c r="Q13" s="18" t="s">
        <v>70</v>
      </c>
      <c r="R13" s="18" t="s">
        <v>71</v>
      </c>
      <c r="S13" s="18" t="s">
        <v>71</v>
      </c>
      <c r="T13" s="18" t="s">
        <v>70</v>
      </c>
      <c r="U13" s="42" t="s">
        <v>70</v>
      </c>
      <c r="V13" s="20">
        <v>6</v>
      </c>
      <c r="W13" s="20">
        <v>6</v>
      </c>
      <c r="X13" s="20">
        <v>6</v>
      </c>
      <c r="Y13" s="20">
        <f>B65</f>
        <v>0</v>
      </c>
      <c r="Z13" s="20">
        <f>E65</f>
        <v>0</v>
      </c>
      <c r="AA13" s="20">
        <f>H66</f>
        <v>2</v>
      </c>
      <c r="AB13" s="62">
        <f>INT(CharacterSheet!O3*0.75)</f>
        <v>0</v>
      </c>
    </row>
    <row r="14" spans="1:28" x14ac:dyDescent="0.25">
      <c r="A14" s="29" t="s">
        <v>48</v>
      </c>
      <c r="B14" s="30" t="s">
        <v>70</v>
      </c>
      <c r="C14" s="19" t="s">
        <v>70</v>
      </c>
      <c r="D14" s="19" t="s">
        <v>70</v>
      </c>
      <c r="E14" s="19" t="s">
        <v>70</v>
      </c>
      <c r="F14" s="19" t="s">
        <v>70</v>
      </c>
      <c r="G14" s="19" t="s">
        <v>71</v>
      </c>
      <c r="H14" s="19" t="s">
        <v>70</v>
      </c>
      <c r="I14" s="19" t="s">
        <v>70</v>
      </c>
      <c r="J14" s="19" t="s">
        <v>70</v>
      </c>
      <c r="K14" s="19" t="s">
        <v>71</v>
      </c>
      <c r="L14" s="19" t="s">
        <v>70</v>
      </c>
      <c r="M14" s="19" t="s">
        <v>71</v>
      </c>
      <c r="N14" s="19" t="s">
        <v>70</v>
      </c>
      <c r="O14" s="19" t="s">
        <v>71</v>
      </c>
      <c r="P14" s="19" t="s">
        <v>70</v>
      </c>
      <c r="Q14" s="19" t="s">
        <v>70</v>
      </c>
      <c r="R14" s="19" t="s">
        <v>70</v>
      </c>
      <c r="S14" s="19" t="s">
        <v>70</v>
      </c>
      <c r="T14" s="19" t="s">
        <v>70</v>
      </c>
      <c r="U14" s="41" t="s">
        <v>70</v>
      </c>
      <c r="V14" s="22">
        <v>6</v>
      </c>
      <c r="W14" s="22">
        <v>6</v>
      </c>
      <c r="X14" s="22">
        <v>8</v>
      </c>
      <c r="Y14" s="20">
        <f>B65</f>
        <v>0</v>
      </c>
      <c r="Z14" s="20">
        <f>E66</f>
        <v>2</v>
      </c>
      <c r="AA14" s="20">
        <f>H66</f>
        <v>2</v>
      </c>
      <c r="AB14" s="62">
        <f>INT(CharacterSheet!O3*0.75)</f>
        <v>0</v>
      </c>
    </row>
    <row r="15" spans="1:28" x14ac:dyDescent="0.25">
      <c r="A15" s="31" t="s">
        <v>49</v>
      </c>
      <c r="B15" s="32" t="s">
        <v>70</v>
      </c>
      <c r="C15" s="18" t="s">
        <v>70</v>
      </c>
      <c r="D15" s="18" t="s">
        <v>71</v>
      </c>
      <c r="E15" s="18" t="s">
        <v>71</v>
      </c>
      <c r="F15" s="18" t="s">
        <v>71</v>
      </c>
      <c r="G15" s="18" t="s">
        <v>70</v>
      </c>
      <c r="H15" s="18" t="s">
        <v>71</v>
      </c>
      <c r="I15" s="18" t="s">
        <v>71</v>
      </c>
      <c r="J15" s="18" t="s">
        <v>70</v>
      </c>
      <c r="K15" s="18" t="s">
        <v>71</v>
      </c>
      <c r="L15" s="18" t="s">
        <v>71</v>
      </c>
      <c r="M15" s="18" t="s">
        <v>70</v>
      </c>
      <c r="N15" s="18" t="s">
        <v>70</v>
      </c>
      <c r="O15" s="18" t="s">
        <v>70</v>
      </c>
      <c r="P15" s="18" t="s">
        <v>71</v>
      </c>
      <c r="Q15" s="18" t="s">
        <v>70</v>
      </c>
      <c r="R15" s="18" t="s">
        <v>71</v>
      </c>
      <c r="S15" s="18" t="s">
        <v>70</v>
      </c>
      <c r="T15" s="18" t="s">
        <v>71</v>
      </c>
      <c r="U15" s="42" t="s">
        <v>70</v>
      </c>
      <c r="V15" s="20">
        <v>7</v>
      </c>
      <c r="W15" s="20">
        <v>7</v>
      </c>
      <c r="X15" s="20">
        <v>4</v>
      </c>
      <c r="Y15" s="20">
        <f>B66</f>
        <v>2</v>
      </c>
      <c r="Z15" s="20">
        <f>E65</f>
        <v>0</v>
      </c>
      <c r="AA15" s="20">
        <f>H66</f>
        <v>2</v>
      </c>
      <c r="AB15" s="71">
        <f>CharacterSheet!O3</f>
        <v>1</v>
      </c>
    </row>
    <row r="16" spans="1:28" x14ac:dyDescent="0.25">
      <c r="A16" s="29" t="s">
        <v>50</v>
      </c>
      <c r="B16" s="30" t="s">
        <v>70</v>
      </c>
      <c r="C16" s="19" t="s">
        <v>70</v>
      </c>
      <c r="D16" s="19" t="s">
        <v>71</v>
      </c>
      <c r="E16" s="19" t="s">
        <v>71</v>
      </c>
      <c r="F16" s="19" t="s">
        <v>71</v>
      </c>
      <c r="G16" s="19" t="s">
        <v>71</v>
      </c>
      <c r="H16" s="19" t="s">
        <v>71</v>
      </c>
      <c r="I16" s="19" t="s">
        <v>70</v>
      </c>
      <c r="J16" s="19" t="s">
        <v>70</v>
      </c>
      <c r="K16" s="19" t="s">
        <v>71</v>
      </c>
      <c r="L16" s="19" t="s">
        <v>70</v>
      </c>
      <c r="M16" s="19" t="s">
        <v>71</v>
      </c>
      <c r="N16" s="19" t="s">
        <v>71</v>
      </c>
      <c r="O16" s="19" t="s">
        <v>71</v>
      </c>
      <c r="P16" s="19" t="s">
        <v>70</v>
      </c>
      <c r="Q16" s="19" t="s">
        <v>71</v>
      </c>
      <c r="R16" s="19" t="s">
        <v>71</v>
      </c>
      <c r="S16" s="19" t="s">
        <v>71</v>
      </c>
      <c r="T16" s="19" t="s">
        <v>70</v>
      </c>
      <c r="U16" s="41" t="s">
        <v>70</v>
      </c>
      <c r="V16" s="22">
        <v>7</v>
      </c>
      <c r="W16" s="22">
        <v>7</v>
      </c>
      <c r="X16" s="22">
        <v>4</v>
      </c>
      <c r="Y16" s="20">
        <f>B66</f>
        <v>2</v>
      </c>
      <c r="Z16" s="20">
        <f>E65</f>
        <v>0</v>
      </c>
      <c r="AA16" s="20">
        <f>H66</f>
        <v>2</v>
      </c>
      <c r="AB16" s="71">
        <f>CharacterSheet!O3</f>
        <v>1</v>
      </c>
    </row>
    <row r="17" spans="1:30" x14ac:dyDescent="0.25">
      <c r="A17" s="84" t="s">
        <v>51</v>
      </c>
      <c r="B17" s="33" t="s">
        <v>71</v>
      </c>
      <c r="C17" s="34" t="s">
        <v>71</v>
      </c>
      <c r="D17" s="34" t="s">
        <v>71</v>
      </c>
      <c r="E17" s="34" t="s">
        <v>70</v>
      </c>
      <c r="F17" s="34" t="s">
        <v>71</v>
      </c>
      <c r="G17" s="34" t="s">
        <v>71</v>
      </c>
      <c r="H17" s="34" t="s">
        <v>71</v>
      </c>
      <c r="I17" s="34" t="s">
        <v>70</v>
      </c>
      <c r="J17" s="34" t="s">
        <v>71</v>
      </c>
      <c r="K17" s="34" t="s">
        <v>70</v>
      </c>
      <c r="L17" s="34" t="s">
        <v>71</v>
      </c>
      <c r="M17" s="34" t="s">
        <v>70</v>
      </c>
      <c r="N17" s="34" t="s">
        <v>71</v>
      </c>
      <c r="O17" s="34" t="s">
        <v>70</v>
      </c>
      <c r="P17" s="34" t="s">
        <v>70</v>
      </c>
      <c r="Q17" s="34" t="s">
        <v>71</v>
      </c>
      <c r="R17" s="34" t="s">
        <v>70</v>
      </c>
      <c r="S17" s="34" t="s">
        <v>71</v>
      </c>
      <c r="T17" s="34" t="s">
        <v>71</v>
      </c>
      <c r="U17" s="43" t="s">
        <v>70</v>
      </c>
      <c r="V17" s="20">
        <v>5</v>
      </c>
      <c r="W17" s="20">
        <v>5</v>
      </c>
      <c r="X17" s="20">
        <v>4</v>
      </c>
      <c r="Y17" s="20">
        <f>B65</f>
        <v>0</v>
      </c>
      <c r="Z17" s="20">
        <f>E65</f>
        <v>0</v>
      </c>
      <c r="AA17" s="20">
        <f>H66</f>
        <v>2</v>
      </c>
      <c r="AB17" s="62">
        <f>INT(CharacterSheet!O3*0.75)</f>
        <v>0</v>
      </c>
    </row>
    <row r="18" spans="1:30" x14ac:dyDescent="0.25">
      <c r="A18" s="74" t="s">
        <v>52</v>
      </c>
      <c r="B18" s="21" t="s">
        <v>71</v>
      </c>
      <c r="C18" s="21" t="s">
        <v>71</v>
      </c>
      <c r="D18" s="21" t="s">
        <v>71</v>
      </c>
      <c r="E18" s="21" t="s">
        <v>71</v>
      </c>
      <c r="F18" s="21" t="s">
        <v>71</v>
      </c>
      <c r="G18" s="21" t="s">
        <v>71</v>
      </c>
      <c r="H18" s="21" t="s">
        <v>71</v>
      </c>
      <c r="I18" s="21" t="s">
        <v>71</v>
      </c>
      <c r="J18" s="21" t="s">
        <v>71</v>
      </c>
      <c r="K18" s="21" t="s">
        <v>71</v>
      </c>
      <c r="L18" s="21" t="s">
        <v>71</v>
      </c>
      <c r="M18" s="21" t="s">
        <v>71</v>
      </c>
      <c r="N18" s="21" t="s">
        <v>71</v>
      </c>
      <c r="O18" s="21" t="s">
        <v>71</v>
      </c>
      <c r="P18" s="21" t="s">
        <v>71</v>
      </c>
      <c r="Q18" s="21" t="s">
        <v>71</v>
      </c>
      <c r="R18" s="21" t="s">
        <v>71</v>
      </c>
      <c r="S18" s="21" t="s">
        <v>71</v>
      </c>
      <c r="T18" s="21" t="s">
        <v>71</v>
      </c>
      <c r="U18" s="44" t="s">
        <v>71</v>
      </c>
      <c r="V18" s="21">
        <v>0</v>
      </c>
      <c r="W18" s="21">
        <v>0</v>
      </c>
      <c r="X18" s="21">
        <v>0</v>
      </c>
      <c r="Y18" s="21">
        <f>B65</f>
        <v>0</v>
      </c>
      <c r="Z18" s="21">
        <f>E65</f>
        <v>0</v>
      </c>
      <c r="AA18" s="21">
        <f>H65</f>
        <v>0</v>
      </c>
      <c r="AB18" s="73">
        <f>INT(CharacterSheet!O3*0.75)</f>
        <v>0</v>
      </c>
    </row>
    <row r="19" spans="1:30" x14ac:dyDescent="0.25">
      <c r="A19" s="74" t="s">
        <v>53</v>
      </c>
      <c r="B19" s="21" t="s">
        <v>71</v>
      </c>
      <c r="C19" s="21" t="s">
        <v>71</v>
      </c>
      <c r="D19" s="21" t="s">
        <v>71</v>
      </c>
      <c r="E19" s="21" t="s">
        <v>71</v>
      </c>
      <c r="F19" s="21" t="s">
        <v>71</v>
      </c>
      <c r="G19" s="21" t="s">
        <v>71</v>
      </c>
      <c r="H19" s="21" t="s">
        <v>71</v>
      </c>
      <c r="I19" s="21" t="s">
        <v>71</v>
      </c>
      <c r="J19" s="21" t="s">
        <v>71</v>
      </c>
      <c r="K19" s="21" t="s">
        <v>71</v>
      </c>
      <c r="L19" s="21" t="s">
        <v>71</v>
      </c>
      <c r="M19" s="21" t="s">
        <v>71</v>
      </c>
      <c r="N19" s="21" t="s">
        <v>71</v>
      </c>
      <c r="O19" s="21" t="s">
        <v>71</v>
      </c>
      <c r="P19" s="21" t="s">
        <v>71</v>
      </c>
      <c r="Q19" s="21" t="s">
        <v>71</v>
      </c>
      <c r="R19" s="21" t="s">
        <v>71</v>
      </c>
      <c r="S19" s="21" t="s">
        <v>71</v>
      </c>
      <c r="T19" s="21" t="s">
        <v>71</v>
      </c>
      <c r="U19" s="44" t="s">
        <v>71</v>
      </c>
      <c r="V19" s="21">
        <v>0</v>
      </c>
      <c r="W19" s="21">
        <v>0</v>
      </c>
      <c r="X19" s="21">
        <v>0</v>
      </c>
      <c r="Y19" s="21">
        <f>B65</f>
        <v>0</v>
      </c>
      <c r="Z19" s="21">
        <f>E65</f>
        <v>0</v>
      </c>
      <c r="AA19" s="21">
        <f>H65</f>
        <v>0</v>
      </c>
      <c r="AB19" s="73">
        <f>INT(CharacterSheet!O3*0.75)</f>
        <v>0</v>
      </c>
    </row>
    <row r="20" spans="1:30" x14ac:dyDescent="0.25">
      <c r="A20" s="74" t="s">
        <v>54</v>
      </c>
      <c r="B20" s="21" t="s">
        <v>71</v>
      </c>
      <c r="C20" s="21" t="s">
        <v>71</v>
      </c>
      <c r="D20" s="21" t="s">
        <v>71</v>
      </c>
      <c r="E20" s="21" t="s">
        <v>71</v>
      </c>
      <c r="F20" s="21" t="s">
        <v>71</v>
      </c>
      <c r="G20" s="21" t="s">
        <v>71</v>
      </c>
      <c r="H20" s="21" t="s">
        <v>71</v>
      </c>
      <c r="I20" s="21" t="s">
        <v>71</v>
      </c>
      <c r="J20" s="21" t="s">
        <v>71</v>
      </c>
      <c r="K20" s="21" t="s">
        <v>71</v>
      </c>
      <c r="L20" s="21" t="s">
        <v>71</v>
      </c>
      <c r="M20" s="21" t="s">
        <v>71</v>
      </c>
      <c r="N20" s="21" t="s">
        <v>71</v>
      </c>
      <c r="O20" s="21" t="s">
        <v>71</v>
      </c>
      <c r="P20" s="21" t="s">
        <v>71</v>
      </c>
      <c r="Q20" s="21" t="s">
        <v>71</v>
      </c>
      <c r="R20" s="21" t="s">
        <v>71</v>
      </c>
      <c r="S20" s="21" t="s">
        <v>71</v>
      </c>
      <c r="T20" s="21" t="s">
        <v>71</v>
      </c>
      <c r="U20" s="44" t="s">
        <v>71</v>
      </c>
      <c r="V20" s="21">
        <v>0</v>
      </c>
      <c r="W20" s="21">
        <v>0</v>
      </c>
      <c r="X20" s="21">
        <v>0</v>
      </c>
      <c r="Y20" s="21">
        <f>B65</f>
        <v>0</v>
      </c>
      <c r="Z20" s="21">
        <f>E65</f>
        <v>0</v>
      </c>
      <c r="AA20" s="21">
        <f>H65</f>
        <v>0</v>
      </c>
      <c r="AB20" s="73">
        <f>INT(CharacterSheet!O3*0.75)</f>
        <v>0</v>
      </c>
    </row>
    <row r="21" spans="1:30" x14ac:dyDescent="0.25">
      <c r="A21" s="74" t="s">
        <v>55</v>
      </c>
      <c r="B21" s="21" t="s">
        <v>71</v>
      </c>
      <c r="C21" s="21" t="s">
        <v>71</v>
      </c>
      <c r="D21" s="21" t="s">
        <v>71</v>
      </c>
      <c r="E21" s="21" t="s">
        <v>71</v>
      </c>
      <c r="F21" s="21" t="s">
        <v>71</v>
      </c>
      <c r="G21" s="21" t="s">
        <v>71</v>
      </c>
      <c r="H21" s="21" t="s">
        <v>71</v>
      </c>
      <c r="I21" s="21" t="s">
        <v>71</v>
      </c>
      <c r="J21" s="21" t="s">
        <v>71</v>
      </c>
      <c r="K21" s="21" t="s">
        <v>71</v>
      </c>
      <c r="L21" s="21" t="s">
        <v>71</v>
      </c>
      <c r="M21" s="21" t="s">
        <v>71</v>
      </c>
      <c r="N21" s="21" t="s">
        <v>71</v>
      </c>
      <c r="O21" s="21" t="s">
        <v>71</v>
      </c>
      <c r="P21" s="21" t="s">
        <v>71</v>
      </c>
      <c r="Q21" s="21" t="s">
        <v>71</v>
      </c>
      <c r="R21" s="21" t="s">
        <v>71</v>
      </c>
      <c r="S21" s="21" t="s">
        <v>71</v>
      </c>
      <c r="T21" s="21" t="s">
        <v>71</v>
      </c>
      <c r="U21" s="44" t="s">
        <v>71</v>
      </c>
      <c r="V21" s="21">
        <v>0</v>
      </c>
      <c r="W21" s="21">
        <v>0</v>
      </c>
      <c r="X21" s="21">
        <v>0</v>
      </c>
      <c r="Y21" s="21">
        <f>B65</f>
        <v>0</v>
      </c>
      <c r="Z21" s="21">
        <f>E65</f>
        <v>0</v>
      </c>
      <c r="AA21" s="21">
        <f>H65</f>
        <v>0</v>
      </c>
      <c r="AB21" s="73">
        <f>INT(CharacterSheet!O3*0.75)</f>
        <v>0</v>
      </c>
    </row>
    <row r="22" spans="1:30" x14ac:dyDescent="0.25">
      <c r="A22" s="74" t="s">
        <v>56</v>
      </c>
      <c r="B22" s="21" t="s">
        <v>71</v>
      </c>
      <c r="C22" s="21" t="s">
        <v>71</v>
      </c>
      <c r="D22" s="21" t="s">
        <v>71</v>
      </c>
      <c r="E22" s="21" t="s">
        <v>71</v>
      </c>
      <c r="F22" s="21" t="s">
        <v>71</v>
      </c>
      <c r="G22" s="21" t="s">
        <v>71</v>
      </c>
      <c r="H22" s="21" t="s">
        <v>71</v>
      </c>
      <c r="I22" s="21" t="s">
        <v>71</v>
      </c>
      <c r="J22" s="21" t="s">
        <v>71</v>
      </c>
      <c r="K22" s="21" t="s">
        <v>71</v>
      </c>
      <c r="L22" s="21" t="s">
        <v>71</v>
      </c>
      <c r="M22" s="21" t="s">
        <v>71</v>
      </c>
      <c r="N22" s="21" t="s">
        <v>71</v>
      </c>
      <c r="O22" s="21" t="s">
        <v>71</v>
      </c>
      <c r="P22" s="21" t="s">
        <v>71</v>
      </c>
      <c r="Q22" s="21" t="s">
        <v>71</v>
      </c>
      <c r="R22" s="21" t="s">
        <v>71</v>
      </c>
      <c r="S22" s="21" t="s">
        <v>71</v>
      </c>
      <c r="T22" s="21" t="s">
        <v>71</v>
      </c>
      <c r="U22" s="44" t="s">
        <v>71</v>
      </c>
      <c r="V22" s="21">
        <v>0</v>
      </c>
      <c r="W22" s="21">
        <v>0</v>
      </c>
      <c r="X22" s="21">
        <v>0</v>
      </c>
      <c r="Y22" s="21">
        <f>B65</f>
        <v>0</v>
      </c>
      <c r="Z22" s="21">
        <f>E65</f>
        <v>0</v>
      </c>
      <c r="AA22" s="21">
        <f>H65</f>
        <v>0</v>
      </c>
      <c r="AB22" s="73">
        <f>INT(CharacterSheet!O3*0.75)</f>
        <v>0</v>
      </c>
    </row>
    <row r="23" spans="1:30" x14ac:dyDescent="0.25">
      <c r="A23" s="74" t="s">
        <v>57</v>
      </c>
      <c r="B23" s="21" t="s">
        <v>71</v>
      </c>
      <c r="C23" s="21" t="s">
        <v>71</v>
      </c>
      <c r="D23" s="21" t="s">
        <v>71</v>
      </c>
      <c r="E23" s="21" t="s">
        <v>71</v>
      </c>
      <c r="F23" s="21" t="s">
        <v>71</v>
      </c>
      <c r="G23" s="21" t="s">
        <v>71</v>
      </c>
      <c r="H23" s="21" t="s">
        <v>71</v>
      </c>
      <c r="I23" s="21" t="s">
        <v>71</v>
      </c>
      <c r="J23" s="21" t="s">
        <v>71</v>
      </c>
      <c r="K23" s="21" t="s">
        <v>70</v>
      </c>
      <c r="L23" s="21" t="s">
        <v>71</v>
      </c>
      <c r="M23" s="21" t="s">
        <v>70</v>
      </c>
      <c r="N23" s="21" t="s">
        <v>71</v>
      </c>
      <c r="O23" s="21" t="s">
        <v>71</v>
      </c>
      <c r="P23" s="21" t="s">
        <v>71</v>
      </c>
      <c r="Q23" s="21" t="s">
        <v>71</v>
      </c>
      <c r="R23" s="21" t="s">
        <v>71</v>
      </c>
      <c r="S23" s="21" t="s">
        <v>71</v>
      </c>
      <c r="T23" s="21" t="s">
        <v>71</v>
      </c>
      <c r="U23" s="44" t="s">
        <v>71</v>
      </c>
      <c r="V23" s="21">
        <v>5</v>
      </c>
      <c r="W23" s="21">
        <v>5</v>
      </c>
      <c r="X23" s="21">
        <v>4</v>
      </c>
      <c r="Y23" s="21">
        <f>B65</f>
        <v>0</v>
      </c>
      <c r="Z23" s="21">
        <f>E65</f>
        <v>0</v>
      </c>
      <c r="AA23" s="21">
        <f>H66</f>
        <v>2</v>
      </c>
      <c r="AB23" s="73">
        <f>INT(CharacterSheet!O3*0.75)</f>
        <v>0</v>
      </c>
    </row>
    <row r="24" spans="1:30" x14ac:dyDescent="0.25">
      <c r="A24" s="37" t="s">
        <v>72</v>
      </c>
      <c r="B24" s="38">
        <f>CharacterSheet!I14</f>
        <v>-5</v>
      </c>
      <c r="Y24" s="187" t="s">
        <v>226</v>
      </c>
      <c r="Z24" s="182"/>
      <c r="AA24" s="191"/>
      <c r="AB24" s="187" t="s">
        <v>226</v>
      </c>
      <c r="AC24" s="182"/>
      <c r="AD24" s="191"/>
    </row>
    <row r="25" spans="1:30" x14ac:dyDescent="0.25">
      <c r="A25" s="37" t="s">
        <v>73</v>
      </c>
      <c r="B25">
        <f>CharacterSheet!I12</f>
        <v>-5</v>
      </c>
      <c r="Y25" s="85" t="s">
        <v>227</v>
      </c>
      <c r="Z25" s="86" t="s">
        <v>228</v>
      </c>
      <c r="AA25" s="87" t="s">
        <v>229</v>
      </c>
      <c r="AB25" s="193" t="s">
        <v>231</v>
      </c>
      <c r="AC25" s="194"/>
      <c r="AD25" s="195"/>
    </row>
    <row r="26" spans="1:30" x14ac:dyDescent="0.25">
      <c r="A26" s="37" t="s">
        <v>74</v>
      </c>
      <c r="B26">
        <f>CharacterSheet!I13</f>
        <v>-5</v>
      </c>
      <c r="Y26" s="178" t="s">
        <v>230</v>
      </c>
      <c r="Z26" s="179"/>
      <c r="AA26" s="192"/>
      <c r="AB26" s="178" t="s">
        <v>232</v>
      </c>
      <c r="AC26" s="179"/>
      <c r="AD26" s="192"/>
    </row>
    <row r="28" spans="1:30" x14ac:dyDescent="0.25">
      <c r="A28" s="180" t="s">
        <v>81</v>
      </c>
      <c r="B28" s="180"/>
      <c r="C28" s="180"/>
      <c r="D28" s="184" t="s">
        <v>235</v>
      </c>
      <c r="E28" s="185"/>
      <c r="F28" s="185"/>
      <c r="G28" s="185"/>
      <c r="H28" s="185"/>
      <c r="I28" s="186"/>
      <c r="J28" t="s">
        <v>221</v>
      </c>
      <c r="L28" s="181" t="s">
        <v>164</v>
      </c>
      <c r="M28" s="181"/>
      <c r="N28" s="181"/>
      <c r="O28" s="180" t="s">
        <v>174</v>
      </c>
      <c r="P28" s="180"/>
      <c r="Q28" s="180"/>
    </row>
    <row r="29" spans="1:30" x14ac:dyDescent="0.25">
      <c r="A29" s="62" t="s">
        <v>90</v>
      </c>
      <c r="B29" s="62" t="s">
        <v>7</v>
      </c>
      <c r="C29" s="62" t="s">
        <v>8</v>
      </c>
      <c r="D29" s="62" t="s">
        <v>9</v>
      </c>
      <c r="E29" s="62" t="s">
        <v>10</v>
      </c>
      <c r="F29" s="62" t="s">
        <v>11</v>
      </c>
      <c r="G29" s="62" t="s">
        <v>12</v>
      </c>
      <c r="H29" s="62" t="s">
        <v>91</v>
      </c>
      <c r="I29" s="62" t="s">
        <v>76</v>
      </c>
      <c r="J29" s="5">
        <v>0</v>
      </c>
      <c r="M29" s="4" t="s">
        <v>165</v>
      </c>
      <c r="O29" s="69" t="s">
        <v>175</v>
      </c>
      <c r="P29" s="69">
        <v>8</v>
      </c>
      <c r="Q29" s="69">
        <v>0</v>
      </c>
    </row>
    <row r="30" spans="1:30" x14ac:dyDescent="0.25">
      <c r="A30" s="74" t="s">
        <v>82</v>
      </c>
      <c r="B30" s="20">
        <v>0</v>
      </c>
      <c r="C30" s="20">
        <v>2</v>
      </c>
      <c r="D30" s="20">
        <v>0</v>
      </c>
      <c r="E30" s="20">
        <v>2</v>
      </c>
      <c r="F30" s="20">
        <v>0</v>
      </c>
      <c r="G30" s="20">
        <v>-2</v>
      </c>
      <c r="H30" s="20"/>
      <c r="I30" s="20">
        <v>4</v>
      </c>
      <c r="J30" s="6">
        <v>-1</v>
      </c>
      <c r="M30" s="4" t="s">
        <v>166</v>
      </c>
      <c r="O30" s="69" t="s">
        <v>176</v>
      </c>
      <c r="P30" s="69">
        <v>4</v>
      </c>
      <c r="Q30" s="69">
        <v>0</v>
      </c>
    </row>
    <row r="31" spans="1:30" x14ac:dyDescent="0.25">
      <c r="A31" s="74" t="s">
        <v>83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</v>
      </c>
      <c r="I31" s="20">
        <v>4</v>
      </c>
      <c r="J31" s="6">
        <v>-2</v>
      </c>
      <c r="M31" s="4" t="s">
        <v>167</v>
      </c>
      <c r="O31" s="69" t="s">
        <v>177</v>
      </c>
      <c r="P31" s="69">
        <v>2</v>
      </c>
      <c r="Q31" s="69">
        <v>0</v>
      </c>
    </row>
    <row r="32" spans="1:30" x14ac:dyDescent="0.25">
      <c r="A32" s="74" t="s">
        <v>84</v>
      </c>
      <c r="B32" s="20">
        <v>2</v>
      </c>
      <c r="C32" s="20">
        <v>0</v>
      </c>
      <c r="D32" s="20">
        <v>0</v>
      </c>
      <c r="E32" s="20">
        <v>-2</v>
      </c>
      <c r="F32" s="20">
        <v>2</v>
      </c>
      <c r="G32" s="20">
        <v>0</v>
      </c>
      <c r="H32" s="20"/>
      <c r="I32" s="20">
        <v>4</v>
      </c>
      <c r="J32" s="6">
        <v>-3</v>
      </c>
      <c r="M32" s="4" t="s">
        <v>168</v>
      </c>
      <c r="O32" s="69" t="s">
        <v>178</v>
      </c>
      <c r="P32" s="69">
        <v>1</v>
      </c>
      <c r="Q32" s="69">
        <v>5</v>
      </c>
    </row>
    <row r="33" spans="1:29" x14ac:dyDescent="0.25">
      <c r="A33" s="74" t="s">
        <v>85</v>
      </c>
      <c r="B33" s="20">
        <v>0</v>
      </c>
      <c r="C33" s="20">
        <v>0</v>
      </c>
      <c r="D33" s="20">
        <v>-2</v>
      </c>
      <c r="E33" s="20">
        <v>2</v>
      </c>
      <c r="F33" s="20">
        <v>0</v>
      </c>
      <c r="G33" s="20">
        <v>2</v>
      </c>
      <c r="H33" s="20"/>
      <c r="I33" s="20">
        <v>4</v>
      </c>
      <c r="J33" s="6">
        <v>-4</v>
      </c>
      <c r="M33" s="4" t="s">
        <v>169</v>
      </c>
      <c r="O33" s="69" t="s">
        <v>179</v>
      </c>
      <c r="P33" s="69">
        <v>0</v>
      </c>
      <c r="Q33" s="69">
        <v>5</v>
      </c>
    </row>
    <row r="34" spans="1:29" x14ac:dyDescent="0.25">
      <c r="A34" s="74" t="s">
        <v>86</v>
      </c>
      <c r="B34" s="20">
        <v>2</v>
      </c>
      <c r="C34" s="20">
        <v>0</v>
      </c>
      <c r="D34" s="20">
        <v>0</v>
      </c>
      <c r="E34" s="20">
        <v>0</v>
      </c>
      <c r="F34" s="20">
        <v>-2</v>
      </c>
      <c r="G34" s="20">
        <v>2</v>
      </c>
      <c r="H34" s="20"/>
      <c r="I34" s="20">
        <v>4</v>
      </c>
      <c r="J34" s="6">
        <v>-5</v>
      </c>
      <c r="M34" s="4" t="s">
        <v>170</v>
      </c>
      <c r="O34" s="69" t="s">
        <v>180</v>
      </c>
      <c r="P34" s="69">
        <v>-1</v>
      </c>
      <c r="Q34" s="69">
        <v>10</v>
      </c>
    </row>
    <row r="35" spans="1:29" x14ac:dyDescent="0.25">
      <c r="A35" s="74" t="s">
        <v>87</v>
      </c>
      <c r="B35" s="20">
        <v>0</v>
      </c>
      <c r="C35" s="20">
        <v>0</v>
      </c>
      <c r="D35" s="20">
        <v>2</v>
      </c>
      <c r="E35" s="20">
        <v>0</v>
      </c>
      <c r="F35" s="20">
        <v>2</v>
      </c>
      <c r="G35" s="20">
        <v>-2</v>
      </c>
      <c r="H35" s="20"/>
      <c r="I35" s="20">
        <v>6</v>
      </c>
      <c r="J35" s="6">
        <v>-6</v>
      </c>
      <c r="M35" s="4" t="s">
        <v>171</v>
      </c>
      <c r="O35" s="69" t="s">
        <v>181</v>
      </c>
      <c r="P35" s="69">
        <v>-2</v>
      </c>
      <c r="Q35" s="69">
        <v>15</v>
      </c>
    </row>
    <row r="36" spans="1:29" x14ac:dyDescent="0.25">
      <c r="A36" s="74" t="s">
        <v>88</v>
      </c>
      <c r="B36" s="20">
        <v>2</v>
      </c>
      <c r="C36" s="20">
        <v>0</v>
      </c>
      <c r="D36" s="20">
        <v>2</v>
      </c>
      <c r="E36" s="20">
        <v>-2</v>
      </c>
      <c r="F36" s="20">
        <v>0</v>
      </c>
      <c r="G36" s="20">
        <v>0</v>
      </c>
      <c r="H36" s="20"/>
      <c r="I36" s="20">
        <v>6</v>
      </c>
      <c r="J36" s="6">
        <v>-7</v>
      </c>
      <c r="M36" s="4" t="s">
        <v>172</v>
      </c>
      <c r="O36" s="69" t="s">
        <v>182</v>
      </c>
      <c r="P36" s="69">
        <v>-4</v>
      </c>
      <c r="Q36" s="69">
        <v>20</v>
      </c>
    </row>
    <row r="37" spans="1:29" x14ac:dyDescent="0.25">
      <c r="A37" s="74" t="s">
        <v>89</v>
      </c>
      <c r="B37" s="20">
        <v>-2</v>
      </c>
      <c r="C37" s="20">
        <v>2</v>
      </c>
      <c r="D37" s="20">
        <v>0</v>
      </c>
      <c r="E37" s="20">
        <v>2</v>
      </c>
      <c r="F37" s="20">
        <v>0</v>
      </c>
      <c r="G37" s="20">
        <v>0</v>
      </c>
      <c r="H37" s="20"/>
      <c r="I37" s="20">
        <v>2</v>
      </c>
      <c r="J37" s="6">
        <v>-8</v>
      </c>
      <c r="M37" s="4" t="s">
        <v>173</v>
      </c>
      <c r="O37" s="69" t="s">
        <v>183</v>
      </c>
      <c r="P37" s="69">
        <v>-8</v>
      </c>
      <c r="Q37" s="69">
        <v>30</v>
      </c>
      <c r="W37" s="180" t="s">
        <v>247</v>
      </c>
      <c r="X37" s="180"/>
      <c r="Y37" s="180"/>
      <c r="Z37" s="180"/>
      <c r="AA37" s="180"/>
      <c r="AB37" s="180"/>
      <c r="AC37" s="180"/>
    </row>
    <row r="38" spans="1:29" x14ac:dyDescent="0.25">
      <c r="A38" s="74" t="s">
        <v>52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6">
        <v>-9</v>
      </c>
      <c r="W38" s="20" t="s">
        <v>248</v>
      </c>
      <c r="X38" s="20" t="s">
        <v>237</v>
      </c>
      <c r="Y38" s="20" t="s">
        <v>238</v>
      </c>
      <c r="Z38" s="20" t="s">
        <v>239</v>
      </c>
      <c r="AA38" s="20" t="s">
        <v>240</v>
      </c>
      <c r="AB38" s="20" t="s">
        <v>241</v>
      </c>
      <c r="AC38" s="20" t="s">
        <v>242</v>
      </c>
    </row>
    <row r="39" spans="1:29" x14ac:dyDescent="0.25">
      <c r="A39" s="74" t="s">
        <v>53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6">
        <v>-10</v>
      </c>
      <c r="M39" s="180" t="s">
        <v>215</v>
      </c>
      <c r="N39" s="180"/>
      <c r="O39" s="180"/>
      <c r="P39" s="69"/>
      <c r="Q39" s="69"/>
      <c r="R39" s="69"/>
      <c r="S39" s="69"/>
      <c r="W39" s="20">
        <v>1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</row>
    <row r="40" spans="1:29" x14ac:dyDescent="0.25">
      <c r="A40" s="74" t="s">
        <v>54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6">
        <v>-11</v>
      </c>
      <c r="M40" s="79" t="s">
        <v>217</v>
      </c>
      <c r="N40" s="20">
        <v>0</v>
      </c>
      <c r="O40" s="69">
        <f>COUNTIF(CharacterSheet!K55:K67,"-")</f>
        <v>0</v>
      </c>
      <c r="P40" s="69">
        <f>COUNTIF(CharacterSheet!U55:U67,"-")</f>
        <v>0</v>
      </c>
      <c r="Q40" s="69">
        <f>COUNTIF(CharacterSheet!AK58,"-")</f>
        <v>0</v>
      </c>
      <c r="R40" s="69"/>
      <c r="S40" s="69">
        <f>SUM(O40:Q40)</f>
        <v>0</v>
      </c>
      <c r="W40" s="20">
        <v>2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</row>
    <row r="41" spans="1:29" x14ac:dyDescent="0.25">
      <c r="A41" s="74" t="s">
        <v>55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6">
        <v>-12</v>
      </c>
      <c r="M41" s="80" t="s">
        <v>216</v>
      </c>
      <c r="N41" s="20">
        <v>0.1</v>
      </c>
      <c r="O41" s="69">
        <f>COUNTIF(CharacterSheet!K55:K67,"L")</f>
        <v>0</v>
      </c>
      <c r="P41" s="69">
        <f>COUNTIF(CharacterSheet!U55:U67,"L")</f>
        <v>0</v>
      </c>
      <c r="Q41" s="69">
        <f>COUNTIF(CharacterSheet!AK58,"L")</f>
        <v>0</v>
      </c>
      <c r="R41" s="69">
        <f>ROUNDUP(S41,0)</f>
        <v>0</v>
      </c>
      <c r="S41" s="69">
        <f>SUM(O41:Q41)*N41</f>
        <v>0</v>
      </c>
      <c r="W41" s="20">
        <v>3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</row>
    <row r="42" spans="1:29" x14ac:dyDescent="0.25">
      <c r="A42" s="74" t="s">
        <v>56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M42" s="20">
        <v>1</v>
      </c>
      <c r="N42" s="20">
        <v>1</v>
      </c>
      <c r="O42" s="69"/>
      <c r="P42" s="69"/>
      <c r="Q42" s="69" t="s">
        <v>8</v>
      </c>
      <c r="R42" s="69" t="s">
        <v>218</v>
      </c>
      <c r="S42" s="69"/>
      <c r="W42" s="20">
        <v>4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</row>
    <row r="43" spans="1:29" x14ac:dyDescent="0.25">
      <c r="A43" s="74" t="s">
        <v>57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M43" s="20">
        <v>2</v>
      </c>
      <c r="N43" s="20">
        <v>2</v>
      </c>
      <c r="O43" s="180" t="s">
        <v>219</v>
      </c>
      <c r="P43" s="180"/>
      <c r="Q43" s="69" t="str">
        <f>IF(CharacterSheet!M50="OVERBURDENED",0,IF(CharacterSheet!M50="ENCUMBERED",2,""))</f>
        <v/>
      </c>
      <c r="R43" s="69" t="str">
        <f>IF(CharacterSheet!M50="OVERBURDENED",-5,IF(CharacterSheet!M50="ENCUMBERED",-5,"0"))</f>
        <v>0</v>
      </c>
      <c r="S43" s="69"/>
      <c r="W43" s="20">
        <v>5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</row>
    <row r="44" spans="1:29" x14ac:dyDescent="0.25">
      <c r="M44" s="20">
        <v>3</v>
      </c>
      <c r="N44" s="20">
        <v>3</v>
      </c>
      <c r="O44" s="180" t="s">
        <v>220</v>
      </c>
      <c r="P44" s="180"/>
      <c r="Q44" s="69" t="str">
        <f>IF(AND(Q43="",CharacterSheet!AI56=""),"",MIN(Q43,CharacterSheet!AI56))</f>
        <v/>
      </c>
      <c r="R44" s="69"/>
      <c r="S44" s="69"/>
      <c r="W44" s="20">
        <v>6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</row>
    <row r="45" spans="1:29" x14ac:dyDescent="0.25">
      <c r="A45" s="180" t="s">
        <v>94</v>
      </c>
      <c r="B45" s="180"/>
      <c r="C45" s="180"/>
      <c r="D45" s="184" t="s">
        <v>234</v>
      </c>
      <c r="E45" s="185"/>
      <c r="F45" s="185"/>
      <c r="G45" s="185"/>
      <c r="H45" s="186"/>
      <c r="M45" s="20">
        <v>4</v>
      </c>
      <c r="N45" s="20">
        <v>4</v>
      </c>
      <c r="O45" s="69"/>
      <c r="P45" s="69"/>
      <c r="Q45" s="69"/>
      <c r="R45" s="69"/>
      <c r="S45" s="69"/>
      <c r="W45" s="20">
        <v>7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</row>
    <row r="46" spans="1:29" x14ac:dyDescent="0.25">
      <c r="A46" s="74" t="s">
        <v>95</v>
      </c>
      <c r="B46" s="75">
        <v>0</v>
      </c>
      <c r="C46" s="75">
        <v>1</v>
      </c>
      <c r="D46" s="75">
        <v>0</v>
      </c>
      <c r="E46" s="75">
        <v>0</v>
      </c>
      <c r="F46" s="75">
        <v>0</v>
      </c>
      <c r="G46" s="75">
        <v>0</v>
      </c>
      <c r="H46" s="69"/>
      <c r="M46" s="20">
        <v>5</v>
      </c>
      <c r="N46" s="20">
        <v>5</v>
      </c>
      <c r="O46" s="69"/>
      <c r="P46" s="69"/>
      <c r="Q46" s="69"/>
      <c r="R46" s="69"/>
      <c r="S46" s="69"/>
      <c r="W46" s="20">
        <v>8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</row>
    <row r="47" spans="1:29" x14ac:dyDescent="0.25">
      <c r="A47" s="74" t="s">
        <v>96</v>
      </c>
      <c r="B47" s="75">
        <v>0</v>
      </c>
      <c r="C47" s="75">
        <v>0</v>
      </c>
      <c r="D47" s="75">
        <v>1</v>
      </c>
      <c r="E47" s="75">
        <v>0</v>
      </c>
      <c r="F47" s="75">
        <v>0</v>
      </c>
      <c r="G47" s="75">
        <v>0</v>
      </c>
      <c r="H47" s="69"/>
      <c r="W47" s="20">
        <v>9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</row>
    <row r="48" spans="1:29" x14ac:dyDescent="0.25">
      <c r="A48" s="74" t="s">
        <v>97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1</v>
      </c>
      <c r="H48" s="69"/>
      <c r="O48" s="180" t="s">
        <v>243</v>
      </c>
      <c r="P48" s="180"/>
      <c r="Q48" s="180"/>
      <c r="R48" s="180"/>
      <c r="S48" s="180"/>
      <c r="T48" s="180"/>
      <c r="U48" s="180"/>
      <c r="W48" s="20">
        <v>10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</row>
    <row r="49" spans="1:29" x14ac:dyDescent="0.25">
      <c r="A49" s="74" t="s">
        <v>98</v>
      </c>
      <c r="B49" s="75">
        <v>1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69"/>
      <c r="O49" s="20" t="s">
        <v>190</v>
      </c>
      <c r="P49" s="20" t="s">
        <v>237</v>
      </c>
      <c r="Q49" s="20" t="s">
        <v>238</v>
      </c>
      <c r="R49" s="20" t="s">
        <v>239</v>
      </c>
      <c r="S49" s="20" t="s">
        <v>240</v>
      </c>
      <c r="T49" s="20" t="s">
        <v>241</v>
      </c>
      <c r="U49" s="20" t="s">
        <v>242</v>
      </c>
      <c r="W49" s="20">
        <v>11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</row>
    <row r="50" spans="1:29" x14ac:dyDescent="0.25">
      <c r="A50" s="74" t="s">
        <v>99</v>
      </c>
      <c r="B50" s="75">
        <v>0</v>
      </c>
      <c r="C50" s="75">
        <v>1</v>
      </c>
      <c r="D50" s="75">
        <v>0</v>
      </c>
      <c r="E50" s="75">
        <v>0</v>
      </c>
      <c r="F50" s="75">
        <v>0</v>
      </c>
      <c r="G50" s="75">
        <v>0</v>
      </c>
      <c r="H50" s="69"/>
      <c r="O50" s="20">
        <v>1</v>
      </c>
      <c r="P50" s="20">
        <v>2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W50" s="20">
        <v>12</v>
      </c>
      <c r="X50" s="20">
        <v>1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</row>
    <row r="51" spans="1:29" x14ac:dyDescent="0.25">
      <c r="A51" s="74" t="s">
        <v>100</v>
      </c>
      <c r="B51" s="75">
        <v>0</v>
      </c>
      <c r="C51" s="75">
        <v>0</v>
      </c>
      <c r="D51" s="75">
        <v>0</v>
      </c>
      <c r="E51" s="75">
        <v>0</v>
      </c>
      <c r="F51" s="75">
        <v>1</v>
      </c>
      <c r="G51" s="75">
        <v>0</v>
      </c>
      <c r="H51" s="69"/>
      <c r="O51" s="20">
        <v>2</v>
      </c>
      <c r="P51" s="20">
        <v>2</v>
      </c>
      <c r="Q51" s="79">
        <v>0</v>
      </c>
      <c r="R51" s="79">
        <v>0</v>
      </c>
      <c r="S51" s="79">
        <v>0</v>
      </c>
      <c r="T51" s="79">
        <v>0</v>
      </c>
      <c r="U51" s="79">
        <v>0</v>
      </c>
      <c r="W51" s="20">
        <v>13</v>
      </c>
      <c r="X51" s="20">
        <v>1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</row>
    <row r="52" spans="1:29" x14ac:dyDescent="0.25">
      <c r="A52" s="74" t="s">
        <v>101</v>
      </c>
      <c r="B52" s="75">
        <v>0</v>
      </c>
      <c r="C52" s="75">
        <v>0</v>
      </c>
      <c r="D52" s="75">
        <v>0</v>
      </c>
      <c r="E52" s="75">
        <v>1</v>
      </c>
      <c r="F52" s="75">
        <v>0</v>
      </c>
      <c r="G52" s="75">
        <v>0</v>
      </c>
      <c r="H52" s="69"/>
      <c r="O52" s="20">
        <v>3</v>
      </c>
      <c r="P52" s="20">
        <v>3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W52" s="20">
        <v>14</v>
      </c>
      <c r="X52" s="20">
        <v>1</v>
      </c>
      <c r="Y52" s="79">
        <v>1</v>
      </c>
      <c r="Z52" s="20">
        <v>0</v>
      </c>
      <c r="AA52" s="20">
        <v>0</v>
      </c>
      <c r="AB52" s="20">
        <v>0</v>
      </c>
      <c r="AC52" s="20">
        <v>0</v>
      </c>
    </row>
    <row r="53" spans="1:29" x14ac:dyDescent="0.25">
      <c r="A53" s="74" t="s">
        <v>102</v>
      </c>
      <c r="B53" s="75">
        <v>0</v>
      </c>
      <c r="C53" s="75">
        <v>0</v>
      </c>
      <c r="D53" s="75">
        <v>1</v>
      </c>
      <c r="E53" s="75">
        <v>0</v>
      </c>
      <c r="F53" s="75">
        <v>0</v>
      </c>
      <c r="G53" s="75">
        <v>0</v>
      </c>
      <c r="H53" s="69"/>
      <c r="O53" s="20">
        <v>4</v>
      </c>
      <c r="P53" s="20">
        <v>3</v>
      </c>
      <c r="Q53" s="20">
        <v>2</v>
      </c>
      <c r="R53" s="79">
        <v>0</v>
      </c>
      <c r="S53" s="79">
        <v>0</v>
      </c>
      <c r="T53" s="79">
        <v>0</v>
      </c>
      <c r="U53" s="79">
        <v>0</v>
      </c>
      <c r="W53" s="20">
        <v>15</v>
      </c>
      <c r="X53" s="20">
        <v>1</v>
      </c>
      <c r="Y53" s="20">
        <v>1</v>
      </c>
      <c r="Z53" s="20">
        <v>0</v>
      </c>
      <c r="AA53" s="20">
        <v>0</v>
      </c>
      <c r="AB53" s="20">
        <v>0</v>
      </c>
      <c r="AC53" s="20">
        <v>0</v>
      </c>
    </row>
    <row r="54" spans="1:29" x14ac:dyDescent="0.25">
      <c r="A54" s="74" t="s">
        <v>103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1</v>
      </c>
      <c r="H54" s="69"/>
      <c r="O54" s="20">
        <v>5</v>
      </c>
      <c r="P54" s="20">
        <v>4</v>
      </c>
      <c r="Q54" s="20">
        <v>2</v>
      </c>
      <c r="R54" s="79">
        <v>0</v>
      </c>
      <c r="S54" s="79">
        <v>0</v>
      </c>
      <c r="T54" s="79">
        <v>0</v>
      </c>
      <c r="U54" s="79">
        <v>0</v>
      </c>
      <c r="W54" s="20">
        <v>16</v>
      </c>
      <c r="X54" s="20">
        <v>1</v>
      </c>
      <c r="Y54" s="20">
        <v>1</v>
      </c>
      <c r="Z54" s="79">
        <v>1</v>
      </c>
      <c r="AA54" s="20">
        <v>0</v>
      </c>
      <c r="AB54" s="20">
        <v>0</v>
      </c>
      <c r="AC54" s="20">
        <v>0</v>
      </c>
    </row>
    <row r="55" spans="1:29" x14ac:dyDescent="0.25">
      <c r="A55" s="74" t="s">
        <v>104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1</v>
      </c>
      <c r="O55" s="20">
        <v>6</v>
      </c>
      <c r="P55" s="20">
        <v>4</v>
      </c>
      <c r="Q55" s="20">
        <v>3</v>
      </c>
      <c r="R55" s="79">
        <v>0</v>
      </c>
      <c r="S55" s="79">
        <v>0</v>
      </c>
      <c r="T55" s="79">
        <v>0</v>
      </c>
      <c r="U55" s="79">
        <v>0</v>
      </c>
      <c r="W55" s="20">
        <v>17</v>
      </c>
      <c r="X55" s="20">
        <v>1</v>
      </c>
      <c r="Y55" s="20">
        <v>1</v>
      </c>
      <c r="Z55" s="79">
        <v>1</v>
      </c>
      <c r="AA55" s="20">
        <v>0</v>
      </c>
      <c r="AB55" s="20">
        <v>0</v>
      </c>
      <c r="AC55" s="20">
        <v>0</v>
      </c>
    </row>
    <row r="56" spans="1:29" x14ac:dyDescent="0.25">
      <c r="A56" s="74" t="s">
        <v>52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O56" s="20">
        <v>7</v>
      </c>
      <c r="P56" s="20">
        <v>4</v>
      </c>
      <c r="Q56" s="20">
        <v>3</v>
      </c>
      <c r="R56" s="20">
        <v>2</v>
      </c>
      <c r="S56" s="79">
        <v>0</v>
      </c>
      <c r="T56" s="79">
        <v>0</v>
      </c>
      <c r="U56" s="79">
        <v>0</v>
      </c>
      <c r="W56" s="20">
        <v>18</v>
      </c>
      <c r="X56" s="20">
        <v>1</v>
      </c>
      <c r="Y56" s="20">
        <v>1</v>
      </c>
      <c r="Z56" s="20">
        <v>1</v>
      </c>
      <c r="AA56" s="79">
        <v>1</v>
      </c>
      <c r="AB56" s="20">
        <v>0</v>
      </c>
      <c r="AC56" s="20">
        <v>0</v>
      </c>
    </row>
    <row r="57" spans="1:29" x14ac:dyDescent="0.25">
      <c r="A57" s="74" t="s">
        <v>53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O57" s="20">
        <v>8</v>
      </c>
      <c r="P57" s="20">
        <v>4</v>
      </c>
      <c r="Q57" s="20">
        <v>4</v>
      </c>
      <c r="R57" s="20">
        <v>2</v>
      </c>
      <c r="S57" s="79">
        <v>0</v>
      </c>
      <c r="T57" s="79">
        <v>0</v>
      </c>
      <c r="U57" s="79">
        <v>0</v>
      </c>
      <c r="W57" s="20">
        <v>19</v>
      </c>
      <c r="X57" s="20">
        <v>1</v>
      </c>
      <c r="Y57" s="20">
        <v>1</v>
      </c>
      <c r="Z57" s="20">
        <v>1</v>
      </c>
      <c r="AA57" s="79">
        <v>1</v>
      </c>
      <c r="AB57" s="20">
        <v>0</v>
      </c>
      <c r="AC57" s="20">
        <v>0</v>
      </c>
    </row>
    <row r="58" spans="1:29" x14ac:dyDescent="0.25">
      <c r="A58" s="74" t="s">
        <v>54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O58" s="20">
        <v>9</v>
      </c>
      <c r="P58" s="20">
        <v>5</v>
      </c>
      <c r="Q58" s="20">
        <v>4</v>
      </c>
      <c r="R58" s="20">
        <v>3</v>
      </c>
      <c r="S58" s="79">
        <v>0</v>
      </c>
      <c r="T58" s="79">
        <v>0</v>
      </c>
      <c r="U58" s="79">
        <v>0</v>
      </c>
      <c r="W58" s="20">
        <v>20</v>
      </c>
      <c r="X58" s="20">
        <v>2</v>
      </c>
      <c r="Y58" s="20">
        <v>1</v>
      </c>
      <c r="Z58" s="20">
        <v>1</v>
      </c>
      <c r="AA58" s="79">
        <v>1</v>
      </c>
      <c r="AB58" s="79">
        <v>1</v>
      </c>
      <c r="AC58" s="20">
        <v>0</v>
      </c>
    </row>
    <row r="59" spans="1:29" x14ac:dyDescent="0.25">
      <c r="A59" s="74" t="s">
        <v>55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O59" s="20">
        <v>10</v>
      </c>
      <c r="P59" s="20">
        <v>5</v>
      </c>
      <c r="Q59" s="20">
        <v>4</v>
      </c>
      <c r="R59" s="20">
        <v>3</v>
      </c>
      <c r="S59" s="20">
        <v>2</v>
      </c>
      <c r="T59" s="79">
        <v>0</v>
      </c>
      <c r="U59" s="79">
        <v>0</v>
      </c>
      <c r="W59" s="20">
        <v>21</v>
      </c>
      <c r="X59" s="20">
        <v>2</v>
      </c>
      <c r="Y59" s="20">
        <v>1</v>
      </c>
      <c r="Z59" s="20">
        <v>1</v>
      </c>
      <c r="AA59" s="20">
        <v>1</v>
      </c>
      <c r="AB59" s="79">
        <v>1</v>
      </c>
      <c r="AC59" s="20">
        <v>0</v>
      </c>
    </row>
    <row r="60" spans="1:29" x14ac:dyDescent="0.25">
      <c r="A60" s="74" t="s">
        <v>56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O60" s="20">
        <v>11</v>
      </c>
      <c r="P60" s="20">
        <v>5</v>
      </c>
      <c r="Q60" s="20">
        <v>4</v>
      </c>
      <c r="R60" s="20">
        <v>4</v>
      </c>
      <c r="S60" s="20">
        <v>2</v>
      </c>
      <c r="T60" s="79">
        <v>0</v>
      </c>
      <c r="U60" s="79">
        <v>0</v>
      </c>
      <c r="W60" s="20">
        <v>22</v>
      </c>
      <c r="X60" s="20">
        <v>2</v>
      </c>
      <c r="Y60" s="20">
        <v>2</v>
      </c>
      <c r="Z60" s="20">
        <v>1</v>
      </c>
      <c r="AA60" s="20">
        <v>1</v>
      </c>
      <c r="AB60" s="79">
        <v>1</v>
      </c>
      <c r="AC60" s="79">
        <v>1</v>
      </c>
    </row>
    <row r="61" spans="1:29" x14ac:dyDescent="0.25">
      <c r="A61" s="74" t="s">
        <v>57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O61" s="20">
        <v>12</v>
      </c>
      <c r="P61" s="20">
        <v>5</v>
      </c>
      <c r="Q61" s="20">
        <v>5</v>
      </c>
      <c r="R61" s="20">
        <v>4</v>
      </c>
      <c r="S61" s="20">
        <v>3</v>
      </c>
      <c r="T61" s="79">
        <v>0</v>
      </c>
      <c r="U61" s="79">
        <v>0</v>
      </c>
      <c r="W61" s="20">
        <v>23</v>
      </c>
      <c r="X61" s="20">
        <v>2</v>
      </c>
      <c r="Y61" s="20">
        <v>2</v>
      </c>
      <c r="Z61" s="20">
        <v>1</v>
      </c>
      <c r="AA61" s="20">
        <v>1</v>
      </c>
      <c r="AB61" s="79">
        <v>1</v>
      </c>
      <c r="AC61" s="79">
        <v>1</v>
      </c>
    </row>
    <row r="62" spans="1:29" x14ac:dyDescent="0.25">
      <c r="O62" s="20">
        <v>13</v>
      </c>
      <c r="P62" s="20">
        <v>5</v>
      </c>
      <c r="Q62" s="20">
        <v>5</v>
      </c>
      <c r="R62" s="20">
        <v>4</v>
      </c>
      <c r="S62" s="20">
        <v>3</v>
      </c>
      <c r="T62" s="20">
        <v>2</v>
      </c>
      <c r="U62" s="79">
        <v>0</v>
      </c>
      <c r="W62" s="20">
        <v>24</v>
      </c>
      <c r="X62" s="20">
        <v>2</v>
      </c>
      <c r="Y62" s="20">
        <v>2</v>
      </c>
      <c r="Z62" s="20">
        <v>2</v>
      </c>
      <c r="AA62" s="20">
        <v>1</v>
      </c>
      <c r="AB62" s="20">
        <v>1</v>
      </c>
      <c r="AC62" s="79">
        <v>1</v>
      </c>
    </row>
    <row r="63" spans="1:29" x14ac:dyDescent="0.25">
      <c r="A63" s="181" t="s">
        <v>136</v>
      </c>
      <c r="B63" s="181"/>
      <c r="C63" s="181"/>
      <c r="D63" s="181" t="s">
        <v>162</v>
      </c>
      <c r="E63" s="181"/>
      <c r="F63" s="181"/>
      <c r="G63" s="181" t="s">
        <v>163</v>
      </c>
      <c r="H63" s="181"/>
      <c r="I63" s="181"/>
      <c r="O63" s="20">
        <v>14</v>
      </c>
      <c r="P63" s="20">
        <v>5</v>
      </c>
      <c r="Q63" s="20">
        <v>5</v>
      </c>
      <c r="R63" s="20">
        <v>4</v>
      </c>
      <c r="S63" s="20">
        <v>4</v>
      </c>
      <c r="T63" s="20">
        <v>2</v>
      </c>
      <c r="U63" s="79">
        <v>0</v>
      </c>
      <c r="W63" s="20">
        <v>25</v>
      </c>
      <c r="X63" s="20">
        <v>2</v>
      </c>
      <c r="Y63" s="20">
        <v>2</v>
      </c>
      <c r="Z63" s="20">
        <v>2</v>
      </c>
      <c r="AA63" s="20">
        <v>1</v>
      </c>
      <c r="AB63" s="20">
        <v>1</v>
      </c>
      <c r="AC63" s="79">
        <v>1</v>
      </c>
    </row>
    <row r="64" spans="1:29" x14ac:dyDescent="0.25">
      <c r="A64" s="58" t="s">
        <v>161</v>
      </c>
      <c r="B64" s="6">
        <f>VLOOKUP(CharacterSheet!E3,A11:AA23,25,FALSE)</f>
        <v>0</v>
      </c>
      <c r="D64" s="58" t="s">
        <v>161</v>
      </c>
      <c r="E64">
        <f>VLOOKUP(CharacterSheet!E3,A11:AA23,26,FALSE)</f>
        <v>2</v>
      </c>
      <c r="G64" s="58" t="s">
        <v>161</v>
      </c>
      <c r="H64">
        <f>VLOOKUP(CharacterSheet!E3,A11:AA23,27,FALSE)</f>
        <v>2</v>
      </c>
      <c r="O64" s="20">
        <v>15</v>
      </c>
      <c r="P64" s="20">
        <v>5</v>
      </c>
      <c r="Q64" s="20">
        <v>5</v>
      </c>
      <c r="R64" s="20">
        <v>5</v>
      </c>
      <c r="S64" s="20">
        <v>4</v>
      </c>
      <c r="T64" s="20">
        <v>3</v>
      </c>
      <c r="U64" s="79">
        <v>0</v>
      </c>
      <c r="W64" s="20">
        <v>26</v>
      </c>
      <c r="X64" s="20">
        <v>2</v>
      </c>
      <c r="Y64" s="20">
        <v>2</v>
      </c>
      <c r="Z64" s="20">
        <v>2</v>
      </c>
      <c r="AA64" s="20">
        <v>2</v>
      </c>
      <c r="AB64" s="20">
        <v>1</v>
      </c>
      <c r="AC64" s="79">
        <v>1</v>
      </c>
    </row>
    <row r="65" spans="1:29" x14ac:dyDescent="0.25">
      <c r="A65" s="57" t="s">
        <v>138</v>
      </c>
      <c r="B65" s="6">
        <f>INT(CharacterSheet!O3/3)</f>
        <v>0</v>
      </c>
      <c r="D65" s="57" t="s">
        <v>138</v>
      </c>
      <c r="E65">
        <f>INT(CharacterSheet!O3/3)</f>
        <v>0</v>
      </c>
      <c r="G65" s="57" t="s">
        <v>138</v>
      </c>
      <c r="H65">
        <f>INT(CharacterSheet!O3/3)</f>
        <v>0</v>
      </c>
      <c r="O65" s="20">
        <v>16</v>
      </c>
      <c r="P65" s="20">
        <v>5</v>
      </c>
      <c r="Q65" s="20">
        <v>5</v>
      </c>
      <c r="R65" s="20">
        <v>5</v>
      </c>
      <c r="S65" s="20">
        <v>4</v>
      </c>
      <c r="T65" s="20">
        <v>3</v>
      </c>
      <c r="U65" s="20">
        <v>2</v>
      </c>
      <c r="W65" s="20">
        <v>27</v>
      </c>
      <c r="X65" s="20">
        <v>2</v>
      </c>
      <c r="Y65" s="20">
        <v>2</v>
      </c>
      <c r="Z65" s="20">
        <v>2</v>
      </c>
      <c r="AA65" s="20">
        <v>2</v>
      </c>
      <c r="AB65" s="20">
        <v>1</v>
      </c>
      <c r="AC65" s="20">
        <v>1</v>
      </c>
    </row>
    <row r="66" spans="1:29" x14ac:dyDescent="0.25">
      <c r="A66" s="57" t="s">
        <v>137</v>
      </c>
      <c r="B66" s="6">
        <f>ROUNDDOWN((CharacterSheet!O3/2),0)+2</f>
        <v>2</v>
      </c>
      <c r="D66" s="57" t="s">
        <v>137</v>
      </c>
      <c r="E66">
        <f>ROUNDDOWN((CharacterSheet!O3/2),0)+2</f>
        <v>2</v>
      </c>
      <c r="G66" s="57" t="s">
        <v>137</v>
      </c>
      <c r="H66">
        <f>ROUNDDOWN((CharacterSheet!O3/2),0)+2</f>
        <v>2</v>
      </c>
      <c r="O66" s="20">
        <v>17</v>
      </c>
      <c r="P66" s="20">
        <v>5</v>
      </c>
      <c r="Q66" s="20">
        <v>5</v>
      </c>
      <c r="R66" s="20">
        <v>5</v>
      </c>
      <c r="S66" s="20">
        <v>4</v>
      </c>
      <c r="T66" s="20">
        <v>4</v>
      </c>
      <c r="U66" s="20">
        <v>2</v>
      </c>
      <c r="W66" s="20">
        <v>28</v>
      </c>
      <c r="X66" s="20">
        <v>3</v>
      </c>
      <c r="Y66" s="20">
        <v>2</v>
      </c>
      <c r="Z66" s="20">
        <v>2</v>
      </c>
      <c r="AA66" s="20">
        <v>2</v>
      </c>
      <c r="AB66" s="20">
        <v>2</v>
      </c>
      <c r="AC66" s="20">
        <v>1</v>
      </c>
    </row>
    <row r="67" spans="1:29" x14ac:dyDescent="0.25">
      <c r="A67" s="180" t="s">
        <v>144</v>
      </c>
      <c r="B67" s="180"/>
      <c r="C67" s="180"/>
      <c r="D67" s="184" t="s">
        <v>233</v>
      </c>
      <c r="E67" s="185"/>
      <c r="F67" s="185"/>
      <c r="G67" s="185"/>
      <c r="H67" s="185"/>
      <c r="I67" s="185"/>
      <c r="J67" s="185"/>
      <c r="K67" s="185"/>
      <c r="L67" s="185"/>
      <c r="M67" s="186"/>
      <c r="O67" s="20">
        <v>18</v>
      </c>
      <c r="P67" s="20">
        <v>5</v>
      </c>
      <c r="Q67" s="20">
        <v>5</v>
      </c>
      <c r="R67" s="20">
        <v>5</v>
      </c>
      <c r="S67" s="20">
        <v>5</v>
      </c>
      <c r="T67" s="20">
        <v>4</v>
      </c>
      <c r="U67" s="20">
        <v>3</v>
      </c>
      <c r="W67" s="20">
        <v>29</v>
      </c>
      <c r="X67" s="20">
        <v>3</v>
      </c>
      <c r="Y67" s="20">
        <v>2</v>
      </c>
      <c r="Z67" s="20">
        <v>2</v>
      </c>
      <c r="AA67" s="20">
        <v>2</v>
      </c>
      <c r="AB67" s="20">
        <v>2</v>
      </c>
      <c r="AC67" s="20">
        <v>1</v>
      </c>
    </row>
    <row r="68" spans="1:29" x14ac:dyDescent="0.25">
      <c r="A68" s="69" t="s">
        <v>45</v>
      </c>
      <c r="B68" s="69" t="s">
        <v>46</v>
      </c>
      <c r="C68" s="69" t="s">
        <v>47</v>
      </c>
      <c r="D68" s="69" t="s">
        <v>48</v>
      </c>
      <c r="E68" s="69" t="s">
        <v>49</v>
      </c>
      <c r="F68" s="69" t="s">
        <v>50</v>
      </c>
      <c r="G68" s="69" t="s">
        <v>51</v>
      </c>
      <c r="H68" s="69" t="str">
        <f>A82</f>
        <v>Custom1</v>
      </c>
      <c r="I68" s="69" t="str">
        <f>A83</f>
        <v>Custom2</v>
      </c>
      <c r="J68" s="69" t="str">
        <f>A84</f>
        <v>Custom3</v>
      </c>
      <c r="K68" s="69" t="str">
        <f>A85</f>
        <v>Custom4</v>
      </c>
      <c r="L68" s="69" t="str">
        <f>A86</f>
        <v>Custom5</v>
      </c>
      <c r="M68" s="69" t="str">
        <f>A87</f>
        <v>Custom6</v>
      </c>
      <c r="O68" s="20">
        <v>19</v>
      </c>
      <c r="P68" s="20">
        <v>5</v>
      </c>
      <c r="Q68" s="20">
        <v>5</v>
      </c>
      <c r="R68" s="20">
        <v>5</v>
      </c>
      <c r="S68" s="20">
        <v>5</v>
      </c>
      <c r="T68" s="20">
        <v>5</v>
      </c>
      <c r="U68" s="20">
        <v>4</v>
      </c>
      <c r="W68" s="20">
        <v>30</v>
      </c>
      <c r="X68" s="20">
        <v>3</v>
      </c>
      <c r="Y68" s="20">
        <v>3</v>
      </c>
      <c r="Z68" s="20">
        <v>2</v>
      </c>
      <c r="AA68" s="20">
        <v>2</v>
      </c>
      <c r="AB68" s="20">
        <v>2</v>
      </c>
      <c r="AC68" s="20">
        <v>2</v>
      </c>
    </row>
    <row r="69" spans="1:29" x14ac:dyDescent="0.25">
      <c r="A69" s="69" t="s">
        <v>5</v>
      </c>
      <c r="B69" s="69" t="s">
        <v>3</v>
      </c>
      <c r="C69" s="69" t="s">
        <v>4</v>
      </c>
      <c r="D69" s="69" t="s">
        <v>1</v>
      </c>
      <c r="E69" s="69" t="s">
        <v>5</v>
      </c>
      <c r="F69" s="69" t="s">
        <v>0</v>
      </c>
      <c r="G69" s="69" t="s">
        <v>3</v>
      </c>
      <c r="H69" s="88" t="s">
        <v>0</v>
      </c>
      <c r="I69" s="88" t="s">
        <v>0</v>
      </c>
      <c r="J69" s="88" t="s">
        <v>0</v>
      </c>
      <c r="K69" s="88" t="s">
        <v>0</v>
      </c>
      <c r="L69" s="88" t="s">
        <v>0</v>
      </c>
      <c r="M69" s="88" t="s">
        <v>3</v>
      </c>
      <c r="O69" s="20">
        <v>20</v>
      </c>
      <c r="P69" s="20">
        <v>5</v>
      </c>
      <c r="Q69" s="20">
        <v>5</v>
      </c>
      <c r="R69" s="20">
        <v>5</v>
      </c>
      <c r="S69" s="20">
        <v>5</v>
      </c>
      <c r="T69" s="20">
        <v>5</v>
      </c>
      <c r="U69" s="20">
        <v>5</v>
      </c>
      <c r="W69" s="20">
        <v>31</v>
      </c>
      <c r="X69" s="20">
        <v>3</v>
      </c>
      <c r="Y69" s="20">
        <v>3</v>
      </c>
      <c r="Z69" s="20">
        <v>2</v>
      </c>
      <c r="AA69" s="20">
        <v>2</v>
      </c>
      <c r="AB69" s="20">
        <v>2</v>
      </c>
      <c r="AC69" s="20">
        <v>2</v>
      </c>
    </row>
    <row r="70" spans="1:29" x14ac:dyDescent="0.25">
      <c r="A70" s="69"/>
      <c r="B70" s="69"/>
      <c r="C70" s="69"/>
      <c r="D70" s="69"/>
      <c r="E70" s="69"/>
      <c r="F70" s="69" t="s">
        <v>1</v>
      </c>
      <c r="G70" s="69"/>
      <c r="H70" s="88" t="s">
        <v>1</v>
      </c>
      <c r="I70" s="88" t="s">
        <v>1</v>
      </c>
      <c r="J70" s="88" t="s">
        <v>1</v>
      </c>
      <c r="K70" s="88" t="s">
        <v>1</v>
      </c>
      <c r="L70" s="88" t="s">
        <v>1</v>
      </c>
      <c r="M70" s="88" t="s">
        <v>4</v>
      </c>
      <c r="U70" s="92"/>
      <c r="V70" s="92"/>
      <c r="W70" s="22" t="s">
        <v>251</v>
      </c>
      <c r="X70" s="22" t="e">
        <f>VLOOKUP(F76,W39:AC69,2,FALSE)</f>
        <v>#N/A</v>
      </c>
      <c r="Y70" s="22" t="e">
        <f>VLOOKUP(F76,W39:AC69,3,FALSE)</f>
        <v>#N/A</v>
      </c>
      <c r="Z70" s="22" t="e">
        <f>VLOOKUP(F76,W39:AC69,4,FALSE)</f>
        <v>#N/A</v>
      </c>
      <c r="AA70" s="22" t="e">
        <f>VLOOKUP(F76,W39:AC69,5,FALSE)</f>
        <v>#N/A</v>
      </c>
      <c r="AB70" s="22" t="e">
        <f>VLOOKUP(F76,W39:AC69,6,FALSE)</f>
        <v>#N/A</v>
      </c>
      <c r="AC70" s="22" t="e">
        <f>VLOOKUP(F76,W39:AC69,7,FALSE)</f>
        <v>#N/A</v>
      </c>
    </row>
    <row r="71" spans="1:29" x14ac:dyDescent="0.25">
      <c r="A71" s="69"/>
      <c r="B71" s="69"/>
      <c r="C71" s="69"/>
      <c r="D71" s="69"/>
      <c r="E71" s="69"/>
      <c r="F71" s="69"/>
      <c r="G71" s="69"/>
      <c r="H71" s="88" t="s">
        <v>2</v>
      </c>
      <c r="I71" s="88" t="s">
        <v>2</v>
      </c>
      <c r="J71" s="88" t="s">
        <v>2</v>
      </c>
      <c r="K71" s="88" t="s">
        <v>2</v>
      </c>
      <c r="L71" s="88" t="s">
        <v>2</v>
      </c>
      <c r="M71" s="88" t="s">
        <v>5</v>
      </c>
      <c r="U71" s="91"/>
      <c r="V71" s="91"/>
    </row>
    <row r="72" spans="1:29" x14ac:dyDescent="0.25">
      <c r="A72" s="69"/>
      <c r="B72" s="69"/>
      <c r="C72" s="69"/>
      <c r="D72" s="69"/>
      <c r="E72" s="69"/>
      <c r="F72" s="69"/>
      <c r="G72" s="69"/>
      <c r="H72" s="88" t="s">
        <v>3</v>
      </c>
      <c r="I72" s="88" t="s">
        <v>3</v>
      </c>
      <c r="J72" s="88" t="s">
        <v>3</v>
      </c>
      <c r="K72" s="88" t="s">
        <v>3</v>
      </c>
      <c r="L72" s="88" t="s">
        <v>3</v>
      </c>
      <c r="M72" s="88"/>
      <c r="O72" s="180" t="s">
        <v>252</v>
      </c>
      <c r="P72" s="180"/>
      <c r="Q72" s="180"/>
      <c r="R72" s="180"/>
      <c r="S72" s="180"/>
      <c r="T72" s="180"/>
      <c r="U72" s="180"/>
      <c r="V72" s="91"/>
      <c r="X72" s="181" t="s">
        <v>260</v>
      </c>
      <c r="Y72" s="181"/>
      <c r="Z72" s="181"/>
    </row>
    <row r="73" spans="1:29" x14ac:dyDescent="0.25">
      <c r="A73" s="69"/>
      <c r="B73" s="69"/>
      <c r="C73" s="69"/>
      <c r="D73" s="69"/>
      <c r="E73" s="69"/>
      <c r="F73" s="69"/>
      <c r="G73" s="69"/>
      <c r="H73" s="88" t="s">
        <v>4</v>
      </c>
      <c r="I73" s="88" t="s">
        <v>4</v>
      </c>
      <c r="J73" s="88" t="s">
        <v>4</v>
      </c>
      <c r="K73" s="88" t="s">
        <v>4</v>
      </c>
      <c r="L73" s="88" t="s">
        <v>4</v>
      </c>
      <c r="M73" s="88"/>
      <c r="O73" s="20" t="s">
        <v>190</v>
      </c>
      <c r="P73" s="20">
        <v>0</v>
      </c>
      <c r="Q73" s="20" t="s">
        <v>237</v>
      </c>
      <c r="R73" s="20" t="s">
        <v>238</v>
      </c>
      <c r="S73" s="20" t="s">
        <v>239</v>
      </c>
      <c r="T73" s="20" t="s">
        <v>240</v>
      </c>
      <c r="U73" s="20" t="s">
        <v>241</v>
      </c>
      <c r="V73" s="20" t="s">
        <v>242</v>
      </c>
      <c r="X73" s="80" t="s">
        <v>190</v>
      </c>
      <c r="Y73" s="80" t="s">
        <v>261</v>
      </c>
      <c r="Z73" s="80" t="s">
        <v>262</v>
      </c>
    </row>
    <row r="74" spans="1:29" x14ac:dyDescent="0.25">
      <c r="A74" s="69" t="s">
        <v>157</v>
      </c>
      <c r="B74" s="69" t="s">
        <v>158</v>
      </c>
      <c r="C74" s="76"/>
      <c r="D74" s="69"/>
      <c r="E74" s="69"/>
      <c r="F74" s="69"/>
      <c r="G74" s="69"/>
      <c r="H74" s="88" t="s">
        <v>5</v>
      </c>
      <c r="I74" s="88" t="s">
        <v>5</v>
      </c>
      <c r="J74" s="88" t="s">
        <v>5</v>
      </c>
      <c r="K74" s="88" t="s">
        <v>5</v>
      </c>
      <c r="L74" s="88" t="s">
        <v>5</v>
      </c>
      <c r="M74" s="88"/>
      <c r="O74" s="20">
        <v>1</v>
      </c>
      <c r="P74" s="20">
        <v>4</v>
      </c>
      <c r="Q74" s="79">
        <v>2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X74" s="20">
        <v>1</v>
      </c>
      <c r="Y74" s="95">
        <v>0</v>
      </c>
      <c r="Z74" s="95">
        <v>1300</v>
      </c>
    </row>
    <row r="75" spans="1:29" x14ac:dyDescent="0.25">
      <c r="A75" s="77" t="s">
        <v>45</v>
      </c>
      <c r="B75" s="69" t="s">
        <v>145</v>
      </c>
      <c r="H75" s="182"/>
      <c r="I75" s="182"/>
      <c r="J75" s="182"/>
      <c r="K75" s="182"/>
      <c r="L75" s="182"/>
      <c r="M75" s="182"/>
      <c r="O75" s="20">
        <v>2</v>
      </c>
      <c r="P75" s="20">
        <v>5</v>
      </c>
      <c r="Q75" s="79">
        <v>3</v>
      </c>
      <c r="R75" s="79">
        <v>0</v>
      </c>
      <c r="S75" s="79">
        <v>0</v>
      </c>
      <c r="T75" s="79">
        <v>0</v>
      </c>
      <c r="U75" s="79">
        <v>0</v>
      </c>
      <c r="V75" s="79">
        <v>0</v>
      </c>
      <c r="X75" s="20">
        <v>2</v>
      </c>
      <c r="Y75" s="95">
        <v>1300</v>
      </c>
      <c r="Z75" s="96">
        <v>3300</v>
      </c>
    </row>
    <row r="76" spans="1:29" x14ac:dyDescent="0.25">
      <c r="A76" s="78" t="s">
        <v>46</v>
      </c>
      <c r="B76" s="69" t="s">
        <v>146</v>
      </c>
      <c r="D76" s="187" t="s">
        <v>249</v>
      </c>
      <c r="E76" s="182"/>
      <c r="F76" s="93">
        <f>VLOOKUP(CharacterSheet!Y5,CharacterSheet!A9:I14,7,FALSE)</f>
        <v>0</v>
      </c>
      <c r="H76" s="183"/>
      <c r="I76" s="181"/>
      <c r="J76" s="181"/>
      <c r="K76" s="181"/>
      <c r="L76" s="181"/>
      <c r="M76" s="181"/>
      <c r="O76" s="20">
        <v>3</v>
      </c>
      <c r="P76" s="20">
        <v>6</v>
      </c>
      <c r="Q76" s="79">
        <v>4</v>
      </c>
      <c r="R76" s="79">
        <v>0</v>
      </c>
      <c r="S76" s="79">
        <v>0</v>
      </c>
      <c r="T76" s="79">
        <v>0</v>
      </c>
      <c r="U76" s="79">
        <v>0</v>
      </c>
      <c r="V76" s="79">
        <v>0</v>
      </c>
      <c r="X76" s="20">
        <v>3</v>
      </c>
      <c r="Y76" s="96">
        <v>3300</v>
      </c>
      <c r="Z76" s="96">
        <v>6000</v>
      </c>
    </row>
    <row r="77" spans="1:29" x14ac:dyDescent="0.25">
      <c r="A77" s="77" t="s">
        <v>47</v>
      </c>
      <c r="B77" s="69" t="s">
        <v>147</v>
      </c>
      <c r="D77" s="178" t="s">
        <v>250</v>
      </c>
      <c r="E77" s="179"/>
      <c r="F77" s="94">
        <f>VLOOKUP(CharacterSheet!Y5,CharacterSheet!A9:I14,9,FALSE)</f>
        <v>-5</v>
      </c>
      <c r="O77" s="20">
        <v>4</v>
      </c>
      <c r="P77" s="20">
        <v>6</v>
      </c>
      <c r="Q77" s="20">
        <v>4</v>
      </c>
      <c r="R77" s="79">
        <v>2</v>
      </c>
      <c r="S77" s="79">
        <v>0</v>
      </c>
      <c r="T77" s="79">
        <v>0</v>
      </c>
      <c r="U77" s="79">
        <v>0</v>
      </c>
      <c r="V77" s="79">
        <v>0</v>
      </c>
      <c r="X77" s="20">
        <v>4</v>
      </c>
      <c r="Y77" s="96">
        <v>6000</v>
      </c>
      <c r="Z77" s="96">
        <v>10000</v>
      </c>
    </row>
    <row r="78" spans="1:29" x14ac:dyDescent="0.25">
      <c r="A78" s="78" t="s">
        <v>48</v>
      </c>
      <c r="B78" s="69" t="s">
        <v>148</v>
      </c>
      <c r="O78" s="20">
        <v>5</v>
      </c>
      <c r="P78" s="20">
        <v>6</v>
      </c>
      <c r="Q78" s="20">
        <v>4</v>
      </c>
      <c r="R78" s="79">
        <v>3</v>
      </c>
      <c r="S78" s="79">
        <v>0</v>
      </c>
      <c r="T78" s="79">
        <v>0</v>
      </c>
      <c r="U78" s="79">
        <v>0</v>
      </c>
      <c r="V78" s="79">
        <v>0</v>
      </c>
      <c r="X78" s="20">
        <v>5</v>
      </c>
      <c r="Y78" s="96">
        <v>10000</v>
      </c>
      <c r="Z78" s="96">
        <v>15000</v>
      </c>
    </row>
    <row r="79" spans="1:29" x14ac:dyDescent="0.25">
      <c r="A79" s="77" t="s">
        <v>49</v>
      </c>
      <c r="B79" s="69" t="s">
        <v>149</v>
      </c>
      <c r="O79" s="20">
        <v>6</v>
      </c>
      <c r="P79" s="20">
        <v>6</v>
      </c>
      <c r="Q79" s="20">
        <v>4</v>
      </c>
      <c r="R79" s="79">
        <v>4</v>
      </c>
      <c r="S79" s="79">
        <v>0</v>
      </c>
      <c r="T79" s="79">
        <v>0</v>
      </c>
      <c r="U79" s="79">
        <v>0</v>
      </c>
      <c r="V79" s="79">
        <v>0</v>
      </c>
      <c r="X79" s="20">
        <v>6</v>
      </c>
      <c r="Y79" s="96">
        <v>15000</v>
      </c>
      <c r="Z79" s="96">
        <v>23000</v>
      </c>
    </row>
    <row r="80" spans="1:29" x14ac:dyDescent="0.25">
      <c r="A80" s="78" t="s">
        <v>50</v>
      </c>
      <c r="B80" s="69" t="s">
        <v>150</v>
      </c>
      <c r="O80" s="20">
        <v>7</v>
      </c>
      <c r="P80" s="20">
        <v>6</v>
      </c>
      <c r="Q80" s="20">
        <v>5</v>
      </c>
      <c r="R80" s="20">
        <v>4</v>
      </c>
      <c r="S80" s="79">
        <v>2</v>
      </c>
      <c r="T80" s="79">
        <v>0</v>
      </c>
      <c r="U80" s="79">
        <v>0</v>
      </c>
      <c r="V80" s="79">
        <v>0</v>
      </c>
      <c r="X80" s="20">
        <v>7</v>
      </c>
      <c r="Y80" s="96">
        <v>23000</v>
      </c>
      <c r="Z80" s="96">
        <v>34000</v>
      </c>
    </row>
    <row r="81" spans="1:26" x14ac:dyDescent="0.25">
      <c r="A81" s="77" t="s">
        <v>51</v>
      </c>
      <c r="B81" s="69" t="s">
        <v>151</v>
      </c>
      <c r="O81" s="20">
        <v>8</v>
      </c>
      <c r="P81" s="20">
        <v>6</v>
      </c>
      <c r="Q81" s="20">
        <v>5</v>
      </c>
      <c r="R81" s="20">
        <v>4</v>
      </c>
      <c r="S81" s="79">
        <v>3</v>
      </c>
      <c r="T81" s="79">
        <v>0</v>
      </c>
      <c r="U81" s="79">
        <v>0</v>
      </c>
      <c r="V81" s="79">
        <v>0</v>
      </c>
      <c r="X81" s="20">
        <v>8</v>
      </c>
      <c r="Y81" s="96">
        <v>34000</v>
      </c>
      <c r="Z81" s="96">
        <v>50000</v>
      </c>
    </row>
    <row r="82" spans="1:26" x14ac:dyDescent="0.25">
      <c r="A82" s="74" t="str">
        <f>A18</f>
        <v>Custom1</v>
      </c>
      <c r="B82" s="88" t="s">
        <v>152</v>
      </c>
      <c r="O82" s="20">
        <v>9</v>
      </c>
      <c r="P82" s="20">
        <v>6</v>
      </c>
      <c r="Q82" s="20">
        <v>5</v>
      </c>
      <c r="R82" s="20">
        <v>4</v>
      </c>
      <c r="S82" s="79">
        <v>4</v>
      </c>
      <c r="T82" s="79">
        <v>0</v>
      </c>
      <c r="U82" s="79">
        <v>0</v>
      </c>
      <c r="V82" s="79">
        <v>0</v>
      </c>
      <c r="X82" s="20">
        <v>9</v>
      </c>
      <c r="Y82" s="96">
        <v>50000</v>
      </c>
      <c r="Z82" s="96">
        <v>71000</v>
      </c>
    </row>
    <row r="83" spans="1:26" x14ac:dyDescent="0.25">
      <c r="A83" s="74" t="str">
        <f t="shared" ref="A83:A87" si="1">A19</f>
        <v>Custom2</v>
      </c>
      <c r="B83" s="88" t="s">
        <v>153</v>
      </c>
      <c r="O83" s="20">
        <v>10</v>
      </c>
      <c r="P83" s="20">
        <v>6</v>
      </c>
      <c r="Q83" s="20">
        <v>5</v>
      </c>
      <c r="R83" s="20">
        <v>5</v>
      </c>
      <c r="S83" s="20">
        <v>4</v>
      </c>
      <c r="T83" s="79">
        <v>2</v>
      </c>
      <c r="U83" s="79">
        <v>0</v>
      </c>
      <c r="V83" s="79">
        <v>0</v>
      </c>
      <c r="X83" s="20">
        <v>10</v>
      </c>
      <c r="Y83" s="96">
        <v>71000</v>
      </c>
      <c r="Z83" s="96">
        <v>105000</v>
      </c>
    </row>
    <row r="84" spans="1:26" x14ac:dyDescent="0.25">
      <c r="A84" s="74" t="str">
        <f t="shared" si="1"/>
        <v>Custom3</v>
      </c>
      <c r="B84" s="88" t="s">
        <v>154</v>
      </c>
      <c r="O84" s="20">
        <v>11</v>
      </c>
      <c r="P84" s="20">
        <v>6</v>
      </c>
      <c r="Q84" s="20">
        <v>6</v>
      </c>
      <c r="R84" s="20">
        <v>5</v>
      </c>
      <c r="S84" s="20">
        <v>4</v>
      </c>
      <c r="T84" s="79">
        <v>3</v>
      </c>
      <c r="U84" s="79">
        <v>0</v>
      </c>
      <c r="V84" s="79">
        <v>0</v>
      </c>
      <c r="X84" s="20">
        <v>11</v>
      </c>
      <c r="Y84" s="96">
        <v>105000</v>
      </c>
      <c r="Z84" s="96">
        <v>145000</v>
      </c>
    </row>
    <row r="85" spans="1:26" x14ac:dyDescent="0.25">
      <c r="A85" s="74" t="str">
        <f t="shared" si="1"/>
        <v>Custom4</v>
      </c>
      <c r="B85" s="88" t="s">
        <v>155</v>
      </c>
      <c r="O85" s="20">
        <v>12</v>
      </c>
      <c r="P85" s="20">
        <v>6</v>
      </c>
      <c r="Q85" s="20">
        <v>6</v>
      </c>
      <c r="R85" s="20">
        <v>5</v>
      </c>
      <c r="S85" s="20">
        <v>4</v>
      </c>
      <c r="T85" s="79">
        <v>4</v>
      </c>
      <c r="U85" s="79">
        <v>0</v>
      </c>
      <c r="V85" s="79">
        <v>0</v>
      </c>
      <c r="X85" s="20">
        <v>12</v>
      </c>
      <c r="Y85" s="96">
        <v>145000</v>
      </c>
      <c r="Z85" s="96">
        <v>210000</v>
      </c>
    </row>
    <row r="86" spans="1:26" x14ac:dyDescent="0.25">
      <c r="A86" s="74" t="str">
        <f t="shared" si="1"/>
        <v>Custom5</v>
      </c>
      <c r="B86" s="88" t="s">
        <v>156</v>
      </c>
      <c r="O86" s="20">
        <v>13</v>
      </c>
      <c r="P86" s="20">
        <v>6</v>
      </c>
      <c r="Q86" s="20">
        <v>6</v>
      </c>
      <c r="R86" s="20">
        <v>5</v>
      </c>
      <c r="S86" s="20">
        <v>5</v>
      </c>
      <c r="T86" s="20">
        <v>4</v>
      </c>
      <c r="U86" s="79">
        <v>2</v>
      </c>
      <c r="V86" s="79">
        <v>0</v>
      </c>
      <c r="X86" s="20">
        <v>13</v>
      </c>
      <c r="Y86" s="96">
        <v>210000</v>
      </c>
      <c r="Z86" s="96">
        <v>295000</v>
      </c>
    </row>
    <row r="87" spans="1:26" x14ac:dyDescent="0.25">
      <c r="A87" s="74" t="str">
        <f t="shared" si="1"/>
        <v>Custom6</v>
      </c>
      <c r="B87" s="88" t="s">
        <v>266</v>
      </c>
      <c r="O87" s="20">
        <v>14</v>
      </c>
      <c r="P87" s="20">
        <v>6</v>
      </c>
      <c r="Q87" s="20">
        <v>6</v>
      </c>
      <c r="R87" s="20">
        <v>6</v>
      </c>
      <c r="S87" s="20">
        <v>5</v>
      </c>
      <c r="T87" s="20">
        <v>4</v>
      </c>
      <c r="U87" s="79">
        <v>3</v>
      </c>
      <c r="V87" s="79">
        <v>0</v>
      </c>
      <c r="X87" s="20">
        <v>14</v>
      </c>
      <c r="Y87" s="96">
        <v>295000</v>
      </c>
      <c r="Z87" s="96">
        <v>425000</v>
      </c>
    </row>
    <row r="88" spans="1:26" x14ac:dyDescent="0.25">
      <c r="O88" s="20">
        <v>15</v>
      </c>
      <c r="P88" s="20">
        <v>6</v>
      </c>
      <c r="Q88" s="20">
        <v>6</v>
      </c>
      <c r="R88" s="20">
        <v>6</v>
      </c>
      <c r="S88" s="20">
        <v>5</v>
      </c>
      <c r="T88" s="20">
        <v>4</v>
      </c>
      <c r="U88" s="79">
        <v>4</v>
      </c>
      <c r="V88" s="79">
        <v>0</v>
      </c>
      <c r="X88" s="20">
        <v>15</v>
      </c>
      <c r="Y88" s="96">
        <v>425000</v>
      </c>
      <c r="Z88" s="96">
        <v>600000</v>
      </c>
    </row>
    <row r="89" spans="1:26" x14ac:dyDescent="0.25">
      <c r="O89" s="20">
        <v>16</v>
      </c>
      <c r="P89" s="20">
        <v>6</v>
      </c>
      <c r="Q89" s="20">
        <v>6</v>
      </c>
      <c r="R89" s="20">
        <v>6</v>
      </c>
      <c r="S89" s="20">
        <v>5</v>
      </c>
      <c r="T89" s="20">
        <v>5</v>
      </c>
      <c r="U89" s="20">
        <v>4</v>
      </c>
      <c r="V89" s="20">
        <v>2</v>
      </c>
      <c r="X89" s="20">
        <v>16</v>
      </c>
      <c r="Y89" s="96">
        <v>600000</v>
      </c>
      <c r="Z89" s="96">
        <v>850000</v>
      </c>
    </row>
    <row r="90" spans="1:26" x14ac:dyDescent="0.25">
      <c r="B90" s="101"/>
      <c r="O90" s="20">
        <v>17</v>
      </c>
      <c r="P90" s="20">
        <v>6</v>
      </c>
      <c r="Q90" s="20">
        <v>6</v>
      </c>
      <c r="R90" s="20">
        <v>6</v>
      </c>
      <c r="S90" s="20">
        <v>6</v>
      </c>
      <c r="T90" s="20">
        <v>5</v>
      </c>
      <c r="U90" s="20">
        <v>4</v>
      </c>
      <c r="V90" s="20">
        <v>3</v>
      </c>
      <c r="X90" s="20">
        <v>17</v>
      </c>
      <c r="Y90" s="96">
        <v>850000</v>
      </c>
      <c r="Z90" s="96">
        <v>1200000</v>
      </c>
    </row>
    <row r="91" spans="1:26" x14ac:dyDescent="0.25">
      <c r="O91" s="20">
        <v>18</v>
      </c>
      <c r="P91" s="20">
        <v>6</v>
      </c>
      <c r="Q91" s="20">
        <v>6</v>
      </c>
      <c r="R91" s="20">
        <v>6</v>
      </c>
      <c r="S91" s="20">
        <v>6</v>
      </c>
      <c r="T91" s="20">
        <v>5</v>
      </c>
      <c r="U91" s="20">
        <v>4</v>
      </c>
      <c r="V91" s="20">
        <v>4</v>
      </c>
      <c r="X91" s="20">
        <v>18</v>
      </c>
      <c r="Y91" s="96">
        <v>1200000</v>
      </c>
      <c r="Z91" s="96">
        <v>1700000</v>
      </c>
    </row>
    <row r="92" spans="1:26" x14ac:dyDescent="0.25">
      <c r="O92" s="20">
        <v>19</v>
      </c>
      <c r="P92" s="20">
        <v>6</v>
      </c>
      <c r="Q92" s="20">
        <v>6</v>
      </c>
      <c r="R92" s="20">
        <v>6</v>
      </c>
      <c r="S92" s="20">
        <v>6</v>
      </c>
      <c r="T92" s="20">
        <v>5</v>
      </c>
      <c r="U92" s="20">
        <v>5</v>
      </c>
      <c r="V92" s="20">
        <v>4</v>
      </c>
      <c r="X92" s="20">
        <v>19</v>
      </c>
      <c r="Y92" s="96">
        <v>1700000</v>
      </c>
      <c r="Z92" s="96">
        <v>2400000</v>
      </c>
    </row>
    <row r="93" spans="1:26" x14ac:dyDescent="0.25">
      <c r="O93" s="20">
        <v>20</v>
      </c>
      <c r="P93" s="20">
        <v>6</v>
      </c>
      <c r="Q93" s="20">
        <v>6</v>
      </c>
      <c r="R93" s="20">
        <v>6</v>
      </c>
      <c r="S93" s="20">
        <v>6</v>
      </c>
      <c r="T93" s="20">
        <v>6</v>
      </c>
      <c r="U93" s="20">
        <v>5</v>
      </c>
      <c r="V93" s="20">
        <v>5</v>
      </c>
      <c r="X93" s="20">
        <v>20</v>
      </c>
      <c r="Y93" s="96">
        <v>2400000</v>
      </c>
      <c r="Z93" s="96">
        <v>0</v>
      </c>
    </row>
    <row r="96" spans="1:26" x14ac:dyDescent="0.25">
      <c r="X96" s="97"/>
    </row>
  </sheetData>
  <sheetProtection sheet="1" objects="1" scenarios="1"/>
  <mergeCells count="33">
    <mergeCell ref="V9:W9"/>
    <mergeCell ref="Y9:AA9"/>
    <mergeCell ref="Y24:AA24"/>
    <mergeCell ref="Y26:AA26"/>
    <mergeCell ref="AB24:AD24"/>
    <mergeCell ref="AB25:AD25"/>
    <mergeCell ref="AB26:AD26"/>
    <mergeCell ref="A1:C1"/>
    <mergeCell ref="A9:C9"/>
    <mergeCell ref="M39:O39"/>
    <mergeCell ref="O43:P43"/>
    <mergeCell ref="O44:P44"/>
    <mergeCell ref="L28:N28"/>
    <mergeCell ref="O28:Q28"/>
    <mergeCell ref="A28:C28"/>
    <mergeCell ref="G2:I2"/>
    <mergeCell ref="D9:U9"/>
    <mergeCell ref="D28:I28"/>
    <mergeCell ref="D77:E77"/>
    <mergeCell ref="O72:U72"/>
    <mergeCell ref="X72:Z72"/>
    <mergeCell ref="W37:AC37"/>
    <mergeCell ref="A67:C67"/>
    <mergeCell ref="D63:F63"/>
    <mergeCell ref="G63:I63"/>
    <mergeCell ref="A45:C45"/>
    <mergeCell ref="A63:C63"/>
    <mergeCell ref="O48:U48"/>
    <mergeCell ref="H75:M75"/>
    <mergeCell ref="H76:M76"/>
    <mergeCell ref="D67:M67"/>
    <mergeCell ref="D45:H45"/>
    <mergeCell ref="D76:E7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CharacterSheet</vt:lpstr>
      <vt:lpstr>DATA</vt:lpstr>
      <vt:lpstr>ClassesKeyAbilities</vt:lpstr>
      <vt:lpstr>Custom1</vt:lpstr>
      <vt:lpstr>Custom2</vt:lpstr>
      <vt:lpstr>Custom3</vt:lpstr>
      <vt:lpstr>Custom4</vt:lpstr>
      <vt:lpstr>Custom5</vt:lpstr>
      <vt:lpstr>Custom6</vt:lpstr>
      <vt:lpstr>Envoy</vt:lpstr>
      <vt:lpstr>Mechanic</vt:lpstr>
      <vt:lpstr>Mystic</vt:lpstr>
      <vt:lpstr>Operative</vt:lpstr>
      <vt:lpstr>Solarian</vt:lpstr>
      <vt:lpstr>Soldier</vt:lpstr>
      <vt:lpstr>Technomancer</vt:lpstr>
      <vt:lpstr>ValidAbilities</vt:lpstr>
      <vt:lpstr>ValidAlignment</vt:lpstr>
      <vt:lpstr>ValidArmorCheckPenalty</vt:lpstr>
      <vt:lpstr>ValidBaseSaveFort</vt:lpstr>
      <vt:lpstr>ValidBaseSaveRef</vt:lpstr>
      <vt:lpstr>ValidBaseSaveWill</vt:lpstr>
      <vt:lpstr>ValidBulk</vt:lpstr>
      <vt:lpstr>ValidClasses</vt:lpstr>
      <vt:lpstr>ValidGenders</vt:lpstr>
      <vt:lpstr>ValidProffession</vt:lpstr>
      <vt:lpstr>ValidRaces</vt:lpstr>
      <vt:lpstr>ValidSize</vt:lpstr>
      <vt:lpstr>ValidThemes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Rosenzweig</dc:creator>
  <cp:lastModifiedBy>W. Robert Reed III</cp:lastModifiedBy>
  <dcterms:created xsi:type="dcterms:W3CDTF">2017-08-20T01:17:46Z</dcterms:created>
  <dcterms:modified xsi:type="dcterms:W3CDTF">2017-08-23T00:05:20Z</dcterms:modified>
</cp:coreProperties>
</file>