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table+xml" PartName="/xl/tables/table18.xml"/>
  <Override ContentType="application/vnd.openxmlformats-officedocument.spreadsheetml.table+xml" PartName="/xl/tables/table13.xml"/>
  <Override ContentType="application/vnd.openxmlformats-officedocument.spreadsheetml.table+xml" PartName="/xl/tables/table4.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15.xml"/>
  <Override ContentType="application/vnd.openxmlformats-officedocument.spreadsheetml.table+xml" PartName="/xl/tables/table6.xml"/>
  <Override ContentType="application/vnd.openxmlformats-officedocument.spreadsheetml.table+xml" PartName="/xl/tables/table8.xml"/>
  <Override ContentType="application/vnd.openxmlformats-officedocument.spreadsheetml.table+xml" PartName="/xl/tables/table11.xml"/>
  <Override ContentType="application/vnd.openxmlformats-officedocument.spreadsheetml.table+xml" PartName="/xl/tables/table5.xml"/>
  <Override ContentType="application/vnd.openxmlformats-officedocument.spreadsheetml.table+xml" PartName="/xl/tables/table20.xml"/>
  <Override ContentType="application/vnd.openxmlformats-officedocument.spreadsheetml.table+xml" PartName="/xl/tables/table3.xml"/>
  <Override ContentType="application/vnd.openxmlformats-officedocument.spreadsheetml.table+xml" PartName="/xl/tables/table17.xml"/>
  <Override ContentType="application/vnd.openxmlformats-officedocument.spreadsheetml.table+xml" PartName="/xl/tables/table19.xml"/>
  <Override ContentType="application/vnd.openxmlformats-officedocument.spreadsheetml.table+xml" PartName="/xl/tables/table10.xml"/>
  <Override ContentType="application/vnd.openxmlformats-officedocument.spreadsheetml.table+xml" PartName="/xl/tables/table7.xml"/>
  <Override ContentType="application/vnd.openxmlformats-officedocument.spreadsheetml.table+xml" PartName="/xl/tables/table16.xml"/>
  <Override ContentType="application/vnd.openxmlformats-officedocument.spreadsheetml.table+xml" PartName="/xl/tables/table14.xml"/>
  <Override ContentType="application/vnd.openxmlformats-officedocument.spreadsheetml.table+xml" PartName="/xl/tables/table12.xml"/>
  <Override ContentType="application/vnd.openxmlformats-officedocument.spreadsheetml.table+xml" PartName="/xl/tables/table9.xml"/>
  <Override ContentType="application/vnd.openxmlformats-officedocument.spreadsheetml.worksheet+xml" PartName="/xl/worksheets/sheet23.xml"/>
  <Override ContentType="application/vnd.openxmlformats-officedocument.spreadsheetml.worksheet+xml" PartName="/xl/worksheets/sheet10.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20.xml"/>
  <Override ContentType="application/vnd.openxmlformats-officedocument.spreadsheetml.worksheet+xml" PartName="/xl/worksheets/sheet1.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4.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25.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22.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5.xml"/>
  <Override ContentType="application/vnd.openxmlformats-officedocument.drawing+xml" PartName="/xl/drawings/drawing21.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22.xml"/>
  <Override ContentType="application/vnd.openxmlformats-officedocument.drawing+xml" PartName="/xl/drawings/drawing10.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23.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24.xml"/>
  <Override ContentType="application/vnd.openxmlformats-officedocument.drawing+xml" PartName="/xl/drawings/drawing11.xml"/>
  <Override ContentType="application/vnd.openxmlformats-officedocument.drawing+xml" PartName="/xl/drawings/drawing20.xml"/>
  <Override ContentType="application/vnd.openxmlformats-officedocument.spreadsheetml.styles+xml" PartName="/xl/styles.xml"/>
  <Override ContentType="application/vnd.openxmlformats-officedocument.spreadsheetml.comments+xml" PartName="/xl/comments15.xml"/>
  <Override ContentType="application/vnd.openxmlformats-officedocument.spreadsheetml.comments+xml" PartName="/xl/comments7.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6.xml"/>
  <Override ContentType="application/vnd.openxmlformats-officedocument.spreadsheetml.comments+xml" PartName="/xl/comments13.xml"/>
  <Override ContentType="application/vnd.openxmlformats-officedocument.spreadsheetml.comments+xml" PartName="/xl/comments4.xml"/>
  <Override ContentType="application/vnd.openxmlformats-officedocument.spreadsheetml.comments+xml" PartName="/xl/comments19.xml"/>
  <Override ContentType="application/vnd.openxmlformats-officedocument.spreadsheetml.comments+xml" PartName="/xl/comments2.xml"/>
  <Override ContentType="application/vnd.openxmlformats-officedocument.spreadsheetml.comments+xml" PartName="/xl/comments17.xml"/>
  <Override ContentType="application/vnd.openxmlformats-officedocument.spreadsheetml.comments+xml" PartName="/xl/comments8.xml"/>
  <Override ContentType="application/vnd.openxmlformats-officedocument.spreadsheetml.comments+xml" PartName="/xl/comments14.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16.xml"/>
  <Override ContentType="application/vnd.openxmlformats-officedocument.spreadsheetml.comments+xml" PartName="/xl/comments3.xml"/>
  <Override ContentType="application/vnd.openxmlformats-officedocument.spreadsheetml.comments+xml" PartName="/xl/comments18.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InstructionsCredits" sheetId="1" r:id="rId3"/>
    <sheet state="visible" name="Build" sheetId="2" r:id="rId4"/>
    <sheet state="visible" name="Statblock" sheetId="3" r:id="rId5"/>
    <sheet state="visible" name="Ship Sheet" sheetId="4" r:id="rId6"/>
    <sheet state="hidden" name="Armor" sheetId="5" r:id="rId7"/>
    <sheet state="hidden" name="Computer Countermeasures" sheetId="6" r:id="rId8"/>
    <sheet state="hidden" name="Crew Quarters" sheetId="7" r:id="rId9"/>
    <sheet state="hidden" name="Defensive Countermeasures" sheetId="8" r:id="rId10"/>
    <sheet state="hidden" name="Drift Engines" sheetId="9" r:id="rId11"/>
    <sheet state="hidden" name="Expansion Bays" sheetId="10" r:id="rId12"/>
    <sheet state="hidden" name="ICM" sheetId="11" r:id="rId13"/>
    <sheet state="hidden" name="Power Cores" sheetId="12" r:id="rId14"/>
    <sheet state="hidden" name="Security" sheetId="13" r:id="rId15"/>
    <sheet state="hidden" name="Sensors" sheetId="14" r:id="rId16"/>
    <sheet state="hidden" name="Shields" sheetId="15" r:id="rId17"/>
    <sheet state="hidden" name="Ship Frames" sheetId="16" r:id="rId18"/>
    <sheet state="hidden" name="Starship Base Stats" sheetId="17" r:id="rId19"/>
    <sheet state="hidden" name="Starship Scale" sheetId="18" r:id="rId20"/>
    <sheet state="hidden" name="Thrusters" sheetId="19" r:id="rId21"/>
    <sheet state="hidden" name="Upgrades" sheetId="20" r:id="rId22"/>
    <sheet state="hidden" name="Maneuverability" sheetId="21" r:id="rId23"/>
    <sheet state="hidden" name="Weapons" sheetId="22" r:id="rId24"/>
    <sheet state="visible" name="Example MakesModels" sheetId="23" r:id="rId25"/>
    <sheet state="visible" name="Version History" sheetId="24" r:id="rId26"/>
    <sheet state="visible" name="TO DO" sheetId="25" r:id="rId27"/>
  </sheets>
  <definedNames>
    <definedName name="Security">Build!$D$42:$D$45</definedName>
    <definedName name="allSensorDmg">'Ship Sheet'!$C$42</definedName>
    <definedName name="ArmorChoice">Armor!$A$2:$A$17</definedName>
    <definedName name="bays10">Build!$D$70</definedName>
    <definedName name="bays14">Build!$D$74</definedName>
    <definedName name="FrameMountsT">'Ship Frames'!$L$2:$L$16</definedName>
    <definedName name="ArmorBPCost">Armor!$G$2:$G$17</definedName>
    <definedName name="BayUsed">'Expansion Bays'!$E$2:$E$25</definedName>
    <definedName name="WeaponsAft">Build!$D$98:$D$101</definedName>
    <definedName name="LinkDice">Weapons!$G$2:$G$48</definedName>
    <definedName name="ThrusterBP">Build!$A$25</definedName>
    <definedName name="TLtotal">Upgrades!$B$49</definedName>
    <definedName name="bays6">Build!$D$66</definedName>
    <definedName name="upCapitalCost">Upgrades!$B$25</definedName>
    <definedName name="UpHeavyCost">Upgrades!$B$26</definedName>
    <definedName name="AntipersonnelBP">Build!$A$43</definedName>
    <definedName name="Crew">Build!$D$35</definedName>
    <definedName name="ICMPCU">Build!$B$32</definedName>
    <definedName name="DefensiveBPCost">'Defensive Countermeasures'!$D$2:$D$17</definedName>
    <definedName name="WeaponsTurret">Build!$D$103:$D$106</definedName>
    <definedName name="CorePCUCost">'Power Cores'!$C$2:$C$23</definedName>
    <definedName name="ShieldSPTotal">Build!$G$58</definedName>
    <definedName name="TierChoice">'Starship Base Stats'!$A$2:$A$24</definedName>
    <definedName name="DefensiveTL">'Defensive Countermeasures'!$B$2:$B$17</definedName>
    <definedName name="Concept">Build!$A$5</definedName>
    <definedName name="FrameIncrement">'Ship Frames'!$I$2:$I$16</definedName>
    <definedName name="bay14Choice">'Expansion Bays'!$X:$X</definedName>
    <definedName name="PilotBonus">'Ship Sheet'!$AA$4</definedName>
    <definedName name="BaysUsed">Build!$C$5:$C$106</definedName>
    <definedName name="Bays">Build!$D$61:$D$80</definedName>
    <definedName name="mountT2">Upgrades!$Y$4:$Y$31</definedName>
    <definedName name="UpHeavy">Upgrades!$A$26</definedName>
    <definedName name="SensorBP">Build!$A$54</definedName>
    <definedName name="ComCounterFeedback">Build!$D$49</definedName>
    <definedName name="ShipSize">Build!$G$10</definedName>
    <definedName name="ICMTier">ICM!$B$32</definedName>
    <definedName name="allWpnAft">Build!$G$98:$H$101</definedName>
    <definedName name="Sensor">Build!$D$54</definedName>
    <definedName name="Core2BP">Build!$A$23</definedName>
    <definedName name="FrameEligible">'Ship Frames'!$B$2:$B$15</definedName>
    <definedName name="SizeMod">'Starship Scale'!$E$2:$E$9</definedName>
    <definedName name="bays18">Build!$D$78</definedName>
    <definedName name="bay3Choice">'Expansion Bays'!$M:$M</definedName>
    <definedName name="ICMBonusT">ICM!$B$2:$B$30</definedName>
    <definedName name="DefCounter">Build!$D$36</definedName>
    <definedName name="FrameTurn">'Ship Frames'!$G$17</definedName>
    <definedName name="mountP1">Upgrades!$I$4:$I$31</definedName>
    <definedName name="bay16Choice">'Expansion Bays'!$Z:$Z</definedName>
    <definedName name="DriftRating">Build!$G$40</definedName>
    <definedName name="DefCounterPCU">Build!$B$36</definedName>
    <definedName name="ACmiscMod">'Ship Sheet'!$AG$4</definedName>
    <definedName name="ICMBP">Build!$A$32</definedName>
    <definedName name="ThrusterBPCost">Thrusters!$F$2:$F$29</definedName>
    <definedName name="PCUtotal">Build!$B$1</definedName>
    <definedName name="Core1BP">Build!$A$21</definedName>
    <definedName name="FrameHP">'Ship Frames'!$H$2:$H$16</definedName>
    <definedName name="SensorBPCost">Sensors!$D$2:$D$12</definedName>
    <definedName name="WeaponBPCost">Weapons!$J$2:$J$48</definedName>
    <definedName name="CoreChoice">'Power Cores'!$A$2:$A$23</definedName>
    <definedName name="bay6Choice">'Expansion Bays'!$P:$P</definedName>
    <definedName name="WeaponsFore">Build!$D$83:$D$86</definedName>
    <definedName name="bays16">Build!$D$76</definedName>
    <definedName name="ComCounterFirewall">Build!$D$50</definedName>
    <definedName name="Core2">Build!$D$23</definedName>
    <definedName name="upLightCost">Upgrades!$B$27</definedName>
    <definedName name="SizeNum">'Starship Scale'!$B$2:$B$9</definedName>
    <definedName name="bay5Choice">'Expansion Bays'!$O:$O</definedName>
    <definedName name="TLmiscMod">'Ship Sheet'!$AG$6</definedName>
    <definedName name="CTtotal">'Ship Frames'!$K$17</definedName>
    <definedName name="WeaponPCUCost">Weapons!$I$2:$I$48</definedName>
    <definedName name="ShieldBalanceT">Shields!$F$2:$F$24</definedName>
    <definedName name="allCargo">'Ship Sheet'!$Z$33:$AF$37</definedName>
    <definedName name="BayRemaining">Build!$C$3</definedName>
    <definedName name="WeaponAll">Weapons!$C$2:$C$48</definedName>
    <definedName name="mountF4">Upgrades!$G$4:$G$31</definedName>
    <definedName name="Armor">Build!$D$29</definedName>
    <definedName name="SensorChoice">Sensors!$A$2:$A$12</definedName>
    <definedName name="FrameDT">'Ship Frames'!$J$2:$J$16</definedName>
    <definedName name="ShieldBPCost">Shields!$E$2:$E$24</definedName>
    <definedName name="mountS4">Upgrades!$Q$4:$Q$31</definedName>
    <definedName name="AntiHackingBP">Build!$A$42</definedName>
    <definedName name="bays11">Build!$D$71</definedName>
    <definedName name="ShieldSP">Shields!$B$2:$B$24</definedName>
    <definedName name="WeaponSpecial">Weapons!$K$2:$K$48</definedName>
    <definedName name="ThrusterPiloting">Thrusters!$D$2:$D$29</definedName>
    <definedName name="SelfDestruct">Build!$D$45</definedName>
    <definedName name="ThrusterSpeed">Thrusters!$C$2:$C$29</definedName>
    <definedName name="bay9Choice">'Expansion Bays'!$S:$S</definedName>
    <definedName name="bay12Choice">'Expansion Bays'!$V:$V</definedName>
    <definedName name="DefCounterBP">Build!$A$36</definedName>
    <definedName name="ShieldRegen">Shields!$C$2:$C$24</definedName>
    <definedName name="atkTurret">Upgrades!$X$44:$AA$44</definedName>
    <definedName name="WeaponLight">Weapons!$C$2:$C$15</definedName>
    <definedName name="FramePilotBonus">'Ship Frames'!$F$17</definedName>
    <definedName name="mountT4">Upgrades!$AA$4:$AA$31</definedName>
    <definedName name="mountP3">Upgrades!$K$4:$K$31</definedName>
    <definedName name="LinkNum">Weapons!$F$2:$F$48</definedName>
    <definedName name="Speed">Build!$G$26</definedName>
    <definedName name="PCUCost">Build!$B:$B</definedName>
    <definedName name="DriftChoice">'Drift Engines'!$H$2:$H$7</definedName>
    <definedName name="bays20">Build!$D$80</definedName>
    <definedName name="FrameTurnBonus">'Ship Frames'!$G$17</definedName>
    <definedName name="bays4">Build!$D$64</definedName>
    <definedName name="ThrusterPilotBonus">Build!$G$27</definedName>
    <definedName name="weaponsWlink">Build!$N$83:$N$106</definedName>
    <definedName name="Tier">Build!$D$8</definedName>
    <definedName name="Modifiers">Upgrades!$T$46:$W$46</definedName>
    <definedName name="ArmorBP">Build!$A$29</definedName>
    <definedName name="FramePilot">'Ship Frames'!$F$2:$F$16</definedName>
    <definedName name="ShieldPCU">Build!$B$57</definedName>
    <definedName name="WeaponMounts">Weapons!$L$2:$L$48</definedName>
    <definedName name="atkFore">Upgrades!$D$44:$G$44</definedName>
    <definedName name="ICMBPCost">ICM!$F$2:$F$30</definedName>
    <definedName name="WeaponRange">Weapons!$D$2:$D$48</definedName>
    <definedName name="mountA4">Upgrades!$V$4:$V$31</definedName>
    <definedName name="Countermeasures">Upgrades!$AA$46</definedName>
    <definedName name="AntipersonnelBPCost">Security!$D$2:$D$112</definedName>
    <definedName name="WeaponCapital">Weapons!$C$33:$C$48</definedName>
    <definedName name="ArmorBonus">Build!$G$30</definedName>
    <definedName name="CrewChoice">'Crew Quarters'!$A$2:$A$5</definedName>
    <definedName name="Core2PCU">Build!$G$24</definedName>
    <definedName name="WeaponHeavy">Weapons!$C$16:$C$32</definedName>
    <definedName name="ACtotal">Upgrades!$B$48</definedName>
    <definedName name="CoreBPCost">'Power Cores'!$D$2:$D$23</definedName>
    <definedName name="FrameCrewMax">'Ship Frames'!$AN$2:$AN$16</definedName>
    <definedName name="allNotes">'Ship Sheet'!$M$26</definedName>
    <definedName name="bays19">Build!$D$79</definedName>
    <definedName name="bays8">Build!$D$68</definedName>
    <definedName name="BayBPCost">'Expansion Bays'!$D$2:$D$25</definedName>
    <definedName name="bays1">Build!$D$61</definedName>
    <definedName name="BaseCT">Build!$G$15</definedName>
    <definedName name="FrameBay">Build!$G$17</definedName>
    <definedName name="bay19Choice">'Expansion Bays'!$AC:$AC</definedName>
    <definedName name="bays7">Build!$D$67</definedName>
    <definedName name="mountF3">Upgrades!$F$4:$F$31</definedName>
    <definedName name="Biometric">Build!$D$44</definedName>
    <definedName name="CrewMax">Build!$G$19</definedName>
    <definedName name="CrewBPCost">'Crew Quarters'!$B$2:$B$5</definedName>
    <definedName name="bays15">Build!$D$75</definedName>
    <definedName name="Core1PCU">Build!$G$22</definedName>
    <definedName name="upgradeSlots">Upgrades!$C$32:$AA$32</definedName>
    <definedName name="FrameBays">'Ship Frames'!$AL$2:$AL$16</definedName>
    <definedName name="allChoices">Build!$D$6:$D$106</definedName>
    <definedName name="PCUremaining">Build!$B$3</definedName>
    <definedName name="ComCounterLockout">Build!$D$51</definedName>
    <definedName name="FrameSize">'Ship Frames'!$C$2:$C$16</definedName>
    <definedName name="atkStarboard">Upgrades!$N$44:$Q$44</definedName>
    <definedName name="ICMbonus">Build!$G$33</definedName>
    <definedName name="CrewBP">Build!$A$35</definedName>
    <definedName name="baysSortedList">'Expansion Bays'!$J$3:$J$25</definedName>
    <definedName name="allWpnStar">Build!$G$93:$H$96</definedName>
    <definedName name="CrewMin">Build!$G$18</definedName>
    <definedName name="WeaponDamage">Weapons!$H$2:$H$48</definedName>
    <definedName name="CounterShockBPCost">'Computer Countermeasures'!$B$2:$B$6</definedName>
    <definedName name="DefensivePCUCost">'Defensive Countermeasures'!$C$2:$C$17</definedName>
    <definedName name="FrameMounts">Build!$G$16</definedName>
    <definedName name="bay10Choice">'Expansion Bays'!$T:$T</definedName>
    <definedName name="otherSystems">Upgrades!$B$46:$R$46</definedName>
    <definedName name="AntiHackingChoice">Security!$A$2:$A$6</definedName>
    <definedName name="ShieldPCUCost">Shields!$D$2:$D$24</definedName>
    <definedName name="bay7Choice">'Expansion Bays'!$Q:$Q</definedName>
    <definedName name="bay2Choice">'Expansion Bays'!$L:$L</definedName>
    <definedName name="Weapons">Build!$D$83:$D$106</definedName>
    <definedName name="bays12">Build!$D$72</definedName>
    <definedName name="Core1">Build!$D$21</definedName>
    <definedName name="Thruster">Build!$D$25</definedName>
    <definedName name="allLifeDmg">'Ship Sheet'!$C$40</definedName>
    <definedName name="ComCounterShell">Build!$D$48</definedName>
    <definedName name="ShipName">Build!$D$6</definedName>
    <definedName name="upHeavyTurretCost">Upgrades!$B$29</definedName>
    <definedName name="upLightTurretCost">Upgrades!$B$30</definedName>
    <definedName name="FrameChoice">'Ship Frames'!$A$2:$A$16</definedName>
    <definedName name="bay18Choice">'Expansion Bays'!$AB:$AB</definedName>
    <definedName name="atkAft">Upgrades!$S$44:$V$44</definedName>
    <definedName name="ArmorTurnT">Armor!$E$2:$E$17</definedName>
    <definedName name="mountS2">Upgrades!$O$4:$O$31</definedName>
    <definedName name="ComCounterAlarm">Build!$D$47</definedName>
    <definedName name="Core1Eligible">'Power Cores'!$E$2:$E$23</definedName>
    <definedName name="SensorModCompy">Build!$G$56</definedName>
    <definedName name="FrameBPCost">'Ship Frames'!$AO$2:$AO$16</definedName>
    <definedName name="ThrusterEligible">Thrusters!$G$2:$G$29</definedName>
    <definedName name="AntipersonnelChoice">Security!$C$2:$C$112</definedName>
    <definedName name="bay4Choice">'Expansion Bays'!$N:$N</definedName>
    <definedName name="allEngineDmg">'Ship Sheet'!$C$45</definedName>
    <definedName name="ArmorTurn">Armor!$E$18</definedName>
    <definedName name="SensorMod">Sensors!$C$2:$C$12</definedName>
    <definedName name="SizeBonus">'Starship Scale'!$E$10</definedName>
    <definedName name="BayPCU">Build!$B$61:$B$80</definedName>
    <definedName name="mountS1">Upgrades!$N$4:$N$31</definedName>
    <definedName name="FrameTurnT">'Ship Frames'!$G$2:$G$16</definedName>
    <definedName name="bays13">Build!$D$73</definedName>
    <definedName name="ThrusterPCUCost">Thrusters!$E$2:$E$29</definedName>
    <definedName name="ComCounterAll">Build!$D$47:$D$53</definedName>
    <definedName name="Shield">Build!$D$57</definedName>
    <definedName name="SizeChoice">'Starship Scale'!$A$2:$A$9</definedName>
    <definedName name="upLight">Upgrades!$A$27</definedName>
    <definedName name="ICM">Build!$D$32</definedName>
    <definedName name="bay13Choice">'Expansion Bays'!$W:$W</definedName>
    <definedName name="allCoreDmg">'Ship Sheet'!$C$47</definedName>
    <definedName name="WeaponPCU">Build!$B$82:$B$106</definedName>
    <definedName name="ShieldBalance">Shields!$F$25</definedName>
    <definedName name="mountF1">Upgrades!$D$4:$D$31</definedName>
    <definedName name="FrameCT">'Ship Frames'!$K$2:$K$16</definedName>
    <definedName name="Drift">Build!$D$38</definedName>
    <definedName name="FrameCrewMin">'Ship Frames'!$AM$2:$AM$16</definedName>
    <definedName name="MakeModel">Build!$D$7</definedName>
    <definedName name="ArmorTLt">Armor!$D$2:$D$17</definedName>
    <definedName name="bay11Choice">'Expansion Bays'!$U:$U</definedName>
    <definedName name="DriftRatingT">'Drift Engines'!$B$2:$B$7</definedName>
    <definedName name="ComCounterBP">Build!$A$47:$A$53</definedName>
    <definedName name="FrameNotes">'Ship Frames'!$AP$2:$AP$16</definedName>
    <definedName name="bay8Choice">'Expansion Bays'!$R:$R</definedName>
    <definedName name="ManeuverabilityTurn">Maneuverability!$A$8</definedName>
    <definedName name="ShieldRegenTotal">Build!$G$59</definedName>
    <definedName name="Core2Eligible">'Power Cores'!$F$2:$F$23</definedName>
    <definedName name="ComCounterShock">Build!$D$52</definedName>
    <definedName name="Frame">Build!$D$9</definedName>
    <definedName name="mountP4">Upgrades!$L$4:$L$31</definedName>
    <definedName name="ShieldBP">Build!$A$57</definedName>
    <definedName name="upCapital">Upgrades!$A$25</definedName>
    <definedName name="TierBP">'Starship Base Stats'!$B$2:$B$24</definedName>
    <definedName name="bays2">Build!$D$62</definedName>
    <definedName name="bay17Choice">'Expansion Bays'!$AA:$AA</definedName>
    <definedName name="ShipSizeNum">'Starship Scale'!$B$10</definedName>
    <definedName name="BayPCUCost">'Expansion Bays'!$C$2:$C$25</definedName>
    <definedName name="mountT3">Upgrades!$Z$4:$Z$31</definedName>
    <definedName name="ArmorSpecial">Armor!$C$2:$C$17</definedName>
    <definedName name="WeaponsPort">Build!$D$88:$D$91</definedName>
    <definedName name="WeaponsStarboard">Build!$D$93:$D$96</definedName>
    <definedName name="BayBP">Build!$A$61:$A$80</definedName>
    <definedName name="atkPort">Upgrades!$I$44:$L$44</definedName>
    <definedName name="mountS3">Upgrades!$P$4:$P$31</definedName>
    <definedName name="ICMNodes">ICM!$D$2:$D$30</definedName>
    <definedName name="upHeavyTurret">Upgrades!$A$29</definedName>
    <definedName name="ICMPCUCost">ICM!$E$2:$E$30</definedName>
    <definedName name="mountA3">Upgrades!$U$4:$U$31</definedName>
    <definedName name="ShieldChoice">Shields!$A$2:$A$24</definedName>
    <definedName name="allWpnPort">Build!$G$88:$H$91</definedName>
    <definedName name="mountP2">Upgrades!$J$4:$J$31</definedName>
    <definedName name="bays5">Build!$D$65</definedName>
    <definedName name="mountF2">Upgrades!$E$4:$E$31</definedName>
    <definedName name="bay15Choice">'Expansion Bays'!$Y:$Y</definedName>
    <definedName name="bays3">Build!$D$63</definedName>
    <definedName name="damageList">Upgrades!$A$14:$A$17</definedName>
    <definedName name="upgradeMountCost">Upgrades!$D$40:$AA$40</definedName>
    <definedName name="ComCounterWipe">Build!$D$53</definedName>
    <definedName name="upLightTurret">Upgrades!$A$30</definedName>
    <definedName name="WeaponSpeed">Weapons!$E$2:$E$48</definedName>
    <definedName name="AntiHackingBPCost">Security!$B$2:$B$6</definedName>
    <definedName name="BaseDT">Build!$G$14</definedName>
    <definedName name="WeaponBP">Build!$A$82:$A$106</definedName>
    <definedName name="allWpnFore">Build!$G$83:$H$86</definedName>
    <definedName name="Antipersonnel">Build!$D$43</definedName>
    <definedName name="BPremaining">Build!$A$3</definedName>
    <definedName name="ArmorAC">Armor!$B$2:$B$17</definedName>
    <definedName name="SelfDestructBP">Build!$A$45</definedName>
    <definedName name="DriftBPCost">'Drift Engines'!$G$2:$G$7</definedName>
    <definedName name="bays9">Build!$D$69</definedName>
    <definedName name="BaseHP">Build!$G$12</definedName>
    <definedName name="SensorRange">Sensors!$B$2:$B$12</definedName>
    <definedName name="Maneuverability">Build!$G$11</definedName>
    <definedName name="allWpnTurret">Build!$G$103:$H$106</definedName>
    <definedName name="TLbonus">Build!$G$37</definedName>
    <definedName name="mountA2">Upgrades!$T$4:$T$31</definedName>
    <definedName name="mountT1">Upgrades!$X$4:$X$31</definedName>
    <definedName name="bay20Choice">'Expansion Bays'!$AD:$AD</definedName>
    <definedName name="DriftPCUMin">'Drift Engines'!$C$2:$C$7</definedName>
    <definedName name="FrameBP">Build!$A$9</definedName>
    <definedName name="ArmorTL">Armor!$D$18</definedName>
    <definedName name="FrameManueverability">'Ship Frames'!$E$2:$E$16</definedName>
    <definedName name="allCrew">'Ship Sheet'!$E$26:$K$30</definedName>
    <definedName name="allWpnDmg">'Ship Sheet'!$P$41:$T$44</definedName>
    <definedName name="DefensiveChoice">'Defensive Countermeasures'!$A$2:$A$17</definedName>
    <definedName name="bays17">Build!$D$77</definedName>
    <definedName name="ThrusterPCU">Build!$B$25</definedName>
    <definedName name="mountA1">Upgrades!$S$4:$S$31</definedName>
    <definedName name="HPtotal">'Ship Frames'!$I$17</definedName>
    <definedName name="BayChoice">'Expansion Bays'!$A$2:$A$25</definedName>
    <definedName name="AntiHacking">Build!$D$42</definedName>
    <definedName name="WeaponLightTracking">Weapons!$C$11:$C$15</definedName>
    <definedName name="ICMChoice">ICM!$A$2:$A$30</definedName>
    <definedName name="BiometricBP">Build!$A$44</definedName>
    <definedName name="baseHPinc">Build!$G$13</definedName>
    <definedName name="BPtotal">Build!$A$1</definedName>
    <definedName name="bay1Choice">'Expansion Bays'!$K:$K</definedName>
    <definedName name="CounterShockChoice">'Computer Countermeasures'!$A$2:$A$6</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AA4">
      <text>
        <t xml:space="preserve">the pilot’s ranks in the Piloting skill</t>
      </text>
    </comment>
  </commentList>
</comments>
</file>

<file path=xl/comments10.xml><?xml version="1.0" encoding="utf-8"?>
<comments xmlns:r="http://schemas.openxmlformats.org/officeDocument/2006/relationships" xmlns="http://schemas.openxmlformats.org/spreadsheetml/2006/main">
  <authors>
    <author/>
  </authors>
  <commentList>
    <comment authorId="0" ref="A2">
      <text>
        <t xml:space="preserve">AntiHackingChoice</t>
      </text>
    </comment>
    <comment authorId="0" ref="B2">
      <text>
        <t xml:space="preserve">AntihackingBPCost</t>
      </text>
    </comment>
    <comment authorId="0" ref="C2">
      <text>
        <t xml:space="preserve">AntipersonnelChoice</t>
      </text>
    </comment>
    <comment authorId="0" ref="D2">
      <text>
        <t xml:space="preserve">AntipersonnelBPCost</t>
      </text>
    </comment>
  </commentList>
</comments>
</file>

<file path=xl/comments11.xml><?xml version="1.0" encoding="utf-8"?>
<comments xmlns:r="http://schemas.openxmlformats.org/officeDocument/2006/relationships" xmlns="http://schemas.openxmlformats.org/spreadsheetml/2006/main">
  <authors>
    <author/>
  </authors>
  <commentList>
    <comment authorId="0" ref="A2">
      <text>
        <t xml:space="preserve">SensorChoice</t>
      </text>
    </comment>
    <comment authorId="0" ref="B2">
      <text>
        <t xml:space="preserve">SensorRange</t>
      </text>
    </comment>
    <comment authorId="0" ref="C2">
      <text>
        <t xml:space="preserve">SensorMod</t>
      </text>
    </comment>
    <comment authorId="0" ref="D2">
      <text>
        <t xml:space="preserve">SensorBPCost</t>
      </text>
    </comment>
  </commentList>
</comments>
</file>

<file path=xl/comments12.xml><?xml version="1.0" encoding="utf-8"?>
<comments xmlns:r="http://schemas.openxmlformats.org/officeDocument/2006/relationships" xmlns="http://schemas.openxmlformats.org/spreadsheetml/2006/main">
  <authors>
    <author/>
  </authors>
  <commentList>
    <comment authorId="0" ref="A2">
      <text>
        <t xml:space="preserve">ShieldChoice</t>
      </text>
    </comment>
    <comment authorId="0" ref="B2">
      <text>
        <t xml:space="preserve">ShieldSP</t>
      </text>
    </comment>
    <comment authorId="0" ref="C2">
      <text>
        <t xml:space="preserve">ShieldRegen</t>
      </text>
    </comment>
    <comment authorId="0" ref="D2">
      <text>
        <t xml:space="preserve">ShieldPCUCost</t>
      </text>
    </comment>
    <comment authorId="0" ref="E2">
      <text>
        <t xml:space="preserve">ShieldBPCost</t>
      </text>
    </comment>
    <comment authorId="0" ref="F2">
      <text>
        <t xml:space="preserve">ShieldBalanceT</t>
      </text>
    </comment>
    <comment authorId="0" ref="F25">
      <text>
        <t xml:space="preserve">ShieldBalance</t>
      </text>
    </comment>
  </commentList>
</comments>
</file>

<file path=xl/comments13.xml><?xml version="1.0" encoding="utf-8"?>
<comments xmlns:r="http://schemas.openxmlformats.org/officeDocument/2006/relationships" xmlns="http://schemas.openxmlformats.org/spreadsheetml/2006/main">
  <authors>
    <author/>
  </authors>
  <commentList>
    <comment authorId="0" ref="A2">
      <text>
        <t xml:space="preserve">FrameChoice</t>
      </text>
    </comment>
    <comment authorId="0" ref="B2">
      <text>
        <t xml:space="preserve">FrameEligible</t>
      </text>
    </comment>
    <comment authorId="0" ref="C2">
      <text>
        <t xml:space="preserve">FrameSize</t>
      </text>
    </comment>
    <comment authorId="0" ref="E2">
      <text>
        <t xml:space="preserve">FrameManueverability</t>
      </text>
    </comment>
    <comment authorId="0" ref="F2">
      <text>
        <t xml:space="preserve">FramePilot</t>
      </text>
    </comment>
    <comment authorId="0" ref="G2">
      <text>
        <t xml:space="preserve">FrameTurnT</t>
      </text>
    </comment>
    <comment authorId="0" ref="H2">
      <text>
        <t xml:space="preserve">FrameHP</t>
      </text>
    </comment>
    <comment authorId="0" ref="I2">
      <text>
        <t xml:space="preserve">FrameIncrement</t>
      </text>
    </comment>
    <comment authorId="0" ref="J2">
      <text>
        <t xml:space="preserve">FrameDT</t>
      </text>
    </comment>
    <comment authorId="0" ref="K2">
      <text>
        <t xml:space="preserve">FrameCT</t>
      </text>
    </comment>
    <comment authorId="0" ref="L2">
      <text>
        <t xml:space="preserve">FrameMountsT</t>
      </text>
    </comment>
    <comment authorId="0" ref="AL2">
      <text>
        <t xml:space="preserve">FrameBays</t>
      </text>
    </comment>
    <comment authorId="0" ref="AM2">
      <text>
        <t xml:space="preserve">FrameCrewMin</t>
      </text>
    </comment>
    <comment authorId="0" ref="AN2">
      <text>
        <t xml:space="preserve">FrameCrewMax</t>
      </text>
    </comment>
    <comment authorId="0" ref="AO2">
      <text>
        <t xml:space="preserve">FrameBPCost</t>
      </text>
    </comment>
    <comment authorId="0" ref="AP2">
      <text>
        <t xml:space="preserve">FrameNotes</t>
      </text>
    </comment>
    <comment authorId="0" ref="D17">
      <text>
        <t xml:space="preserve">ManeuverabilityTurn</t>
      </text>
    </comment>
    <comment authorId="0" ref="F17">
      <text>
        <t xml:space="preserve">FramePilotBonus</t>
      </text>
    </comment>
    <comment authorId="0" ref="G17">
      <text>
        <t xml:space="preserve">FrameTurnBonus</t>
      </text>
    </comment>
    <comment authorId="0" ref="I17">
      <text>
        <t xml:space="preserve">HPtotal</t>
      </text>
    </comment>
    <comment authorId="0" ref="K17">
      <text>
        <t xml:space="preserve">CTtotal</t>
      </text>
    </comment>
  </commentList>
</comments>
</file>

<file path=xl/comments14.xml><?xml version="1.0" encoding="utf-8"?>
<comments xmlns:r="http://schemas.openxmlformats.org/officeDocument/2006/relationships" xmlns="http://schemas.openxmlformats.org/spreadsheetml/2006/main">
  <authors>
    <author/>
  </authors>
  <commentList>
    <comment authorId="0" ref="A2">
      <text>
        <t xml:space="preserve">TierChoice</t>
      </text>
    </comment>
    <comment authorId="0" ref="B2">
      <text>
        <t xml:space="preserve">TierBP</t>
      </text>
    </comment>
  </commentList>
</comments>
</file>

<file path=xl/comments15.xml><?xml version="1.0" encoding="utf-8"?>
<comments xmlns:r="http://schemas.openxmlformats.org/officeDocument/2006/relationships" xmlns="http://schemas.openxmlformats.org/spreadsheetml/2006/main">
  <authors>
    <author/>
  </authors>
  <commentList>
    <comment authorId="0" ref="A2">
      <text>
        <t xml:space="preserve">SizeChoice</t>
      </text>
    </comment>
    <comment authorId="0" ref="B2">
      <text>
        <t xml:space="preserve">SizeNum</t>
      </text>
    </comment>
    <comment authorId="0" ref="E2">
      <text>
        <t xml:space="preserve">SizeMod</t>
      </text>
    </comment>
    <comment authorId="0" ref="B10">
      <text>
        <t xml:space="preserve">ShipSizeNum</t>
      </text>
    </comment>
    <comment authorId="0" ref="E10">
      <text>
        <t xml:space="preserve">SizeBonus</t>
      </text>
    </comment>
  </commentList>
</comments>
</file>

<file path=xl/comments16.xml><?xml version="1.0" encoding="utf-8"?>
<comments xmlns:r="http://schemas.openxmlformats.org/officeDocument/2006/relationships" xmlns="http://schemas.openxmlformats.org/spreadsheetml/2006/main">
  <authors>
    <author/>
  </authors>
  <commentList>
    <comment authorId="0" ref="C2">
      <text>
        <t xml:space="preserve">ThrusterSpeed</t>
      </text>
    </comment>
    <comment authorId="0" ref="D2">
      <text>
        <t xml:space="preserve">ThrusterPiloting</t>
      </text>
    </comment>
    <comment authorId="0" ref="E2">
      <text>
        <t xml:space="preserve">ThrusterPCUCost</t>
      </text>
    </comment>
    <comment authorId="0" ref="F2">
      <text>
        <t xml:space="preserve">ThrusterBPCost</t>
      </text>
    </comment>
    <comment authorId="0" ref="G2">
      <text>
        <t xml:space="preserve">ThrusterEligible</t>
      </text>
    </comment>
  </commentList>
</comments>
</file>

<file path=xl/comments17.xml><?xml version="1.0" encoding="utf-8"?>
<comments xmlns:r="http://schemas.openxmlformats.org/officeDocument/2006/relationships" xmlns="http://schemas.openxmlformats.org/spreadsheetml/2006/main">
  <authors>
    <author/>
  </authors>
  <commentList>
    <comment authorId="0" ref="S4">
      <text>
        <t xml:space="preserve">Mount</t>
      </text>
    </comment>
    <comment authorId="0" ref="A14">
      <text>
        <t xml:space="preserve">damageList</t>
      </text>
    </comment>
    <comment authorId="0" ref="A25">
      <text>
        <t xml:space="preserve">upCapital</t>
      </text>
    </comment>
    <comment authorId="0" ref="B25">
      <text>
        <t xml:space="preserve">upCapitalCost</t>
      </text>
    </comment>
    <comment authorId="0" ref="A26">
      <text>
        <t xml:space="preserve">UpHeavy</t>
      </text>
    </comment>
    <comment authorId="0" ref="B26">
      <text>
        <t xml:space="preserve">UpHeavyCost</t>
      </text>
    </comment>
    <comment authorId="0" ref="A27">
      <text>
        <t xml:space="preserve">upLight</t>
      </text>
    </comment>
    <comment authorId="0" ref="B27">
      <text>
        <t xml:space="preserve">upLightCost</t>
      </text>
    </comment>
    <comment authorId="0" ref="A29">
      <text>
        <t xml:space="preserve">upHeavyTurret</t>
      </text>
    </comment>
    <comment authorId="0" ref="B29">
      <text>
        <t xml:space="preserve">upHeavyTurretCost</t>
      </text>
    </comment>
    <comment authorId="0" ref="A30">
      <text>
        <t xml:space="preserve">upLightTurret</t>
      </text>
    </comment>
    <comment authorId="0" ref="B30">
      <text>
        <t xml:space="preserve">upLightTurretCost</t>
      </text>
    </comment>
    <comment authorId="0" ref="C32">
      <text>
        <t xml:space="preserve">upgradeSlots</t>
      </text>
    </comment>
    <comment authorId="0" ref="D40">
      <text>
        <t xml:space="preserve">upgradeMountCost</t>
      </text>
    </comment>
    <comment authorId="0" ref="D44">
      <text>
        <t xml:space="preserve">atkFore</t>
      </text>
    </comment>
    <comment authorId="0" ref="I44">
      <text>
        <t xml:space="preserve">atkPort</t>
      </text>
    </comment>
    <comment authorId="0" ref="N44">
      <text>
        <t xml:space="preserve">atkStarboard</t>
      </text>
    </comment>
    <comment authorId="0" ref="S44">
      <text>
        <t xml:space="preserve">atkAft</t>
      </text>
    </comment>
    <comment authorId="0" ref="X44">
      <text>
        <t xml:space="preserve">atkTurret</t>
      </text>
    </comment>
    <comment authorId="0" ref="B46">
      <text>
        <t xml:space="preserve">otherSystems</t>
      </text>
    </comment>
    <comment authorId="0" ref="T46">
      <text>
        <t xml:space="preserve">Modifiers</t>
      </text>
    </comment>
    <comment authorId="0" ref="AA46">
      <text>
        <t xml:space="preserve">Countermeasures</t>
      </text>
    </comment>
    <comment authorId="0" ref="B48">
      <text>
        <t xml:space="preserve">ACtotal</t>
      </text>
    </comment>
    <comment authorId="0" ref="B49">
      <text>
        <t xml:space="preserve">TLtotal</t>
      </text>
    </comment>
  </commentList>
</comments>
</file>

<file path=xl/comments18.xml><?xml version="1.0" encoding="utf-8"?>
<comments xmlns:r="http://schemas.openxmlformats.org/officeDocument/2006/relationships" xmlns="http://schemas.openxmlformats.org/spreadsheetml/2006/main">
  <authors>
    <author/>
  </authors>
  <commentList>
    <comment authorId="0" ref="A8">
      <text>
        <t xml:space="preserve">ManeuverabilityMod</t>
      </text>
    </comment>
  </commentList>
</comments>
</file>

<file path=xl/comments19.xml><?xml version="1.0" encoding="utf-8"?>
<comments xmlns:r="http://schemas.openxmlformats.org/officeDocument/2006/relationships" xmlns="http://schemas.openxmlformats.org/spreadsheetml/2006/main">
  <authors>
    <author/>
  </authors>
  <commentList>
    <comment authorId="0" ref="C2">
      <text>
        <t xml:space="preserve">WeaponAll
WeaponLight</t>
      </text>
    </comment>
    <comment authorId="0" ref="D2">
      <text>
        <t xml:space="preserve">WeaponRange</t>
      </text>
    </comment>
    <comment authorId="0" ref="E2">
      <text>
        <t xml:space="preserve">WeaponSpeed</t>
      </text>
    </comment>
    <comment authorId="0" ref="F2">
      <text>
        <t xml:space="preserve">LinkNum</t>
      </text>
    </comment>
    <comment authorId="0" ref="G2">
      <text>
        <t xml:space="preserve">LinkDice</t>
      </text>
    </comment>
    <comment authorId="0" ref="H2">
      <text>
        <t xml:space="preserve">WeaponDamage</t>
      </text>
    </comment>
    <comment authorId="0" ref="I2">
      <text>
        <t xml:space="preserve">WeaponPCUCost</t>
      </text>
    </comment>
    <comment authorId="0" ref="J2">
      <text>
        <t xml:space="preserve">WeaponBPCost</t>
      </text>
    </comment>
    <comment authorId="0" ref="K2">
      <text>
        <t xml:space="preserve">WeaponSpecial</t>
      </text>
    </comment>
    <comment authorId="0" ref="L2">
      <text>
        <t xml:space="preserve">WeaponMounts</t>
      </text>
    </comment>
    <comment authorId="0" ref="C11">
      <text>
        <t xml:space="preserve">WeaponLightTracking</t>
      </text>
    </comment>
    <comment authorId="0" ref="C16">
      <text>
        <t xml:space="preserve">WeaponHeavy</t>
      </text>
    </comment>
    <comment authorId="0" ref="C33">
      <text>
        <t xml:space="preserve">WeaponCapital</t>
      </text>
    </comment>
  </commentList>
</comments>
</file>

<file path=xl/comments2.xml><?xml version="1.0" encoding="utf-8"?>
<comments xmlns:r="http://schemas.openxmlformats.org/officeDocument/2006/relationships" xmlns="http://schemas.openxmlformats.org/spreadsheetml/2006/main">
  <authors>
    <author/>
  </authors>
  <commentList>
    <comment authorId="0" ref="A2">
      <text>
        <t xml:space="preserve">ArmorChoice</t>
      </text>
    </comment>
    <comment authorId="0" ref="B2">
      <text>
        <t xml:space="preserve">ArmorAC</t>
      </text>
    </comment>
    <comment authorId="0" ref="C2">
      <text>
        <t xml:space="preserve">ArmorSpecial</t>
      </text>
    </comment>
    <comment authorId="0" ref="D2">
      <text>
        <t xml:space="preserve">ArmorTLt</t>
      </text>
    </comment>
    <comment authorId="0" ref="E2">
      <text>
        <t xml:space="preserve">ArmorTurnT</t>
      </text>
    </comment>
    <comment authorId="0" ref="G2">
      <text>
        <t xml:space="preserve">ArmorBPCost</t>
      </text>
    </comment>
    <comment authorId="0" ref="D18">
      <text>
        <t xml:space="preserve">ArmorTL</t>
      </text>
    </comment>
    <comment authorId="0" ref="E18">
      <text>
        <t xml:space="preserve">ArmorTurn</t>
      </text>
    </comment>
  </commentList>
</comments>
</file>

<file path=xl/comments3.xml><?xml version="1.0" encoding="utf-8"?>
<comments xmlns:r="http://schemas.openxmlformats.org/officeDocument/2006/relationships" xmlns="http://schemas.openxmlformats.org/spreadsheetml/2006/main">
  <authors>
    <author/>
  </authors>
  <commentList>
    <comment authorId="0" ref="A2">
      <text>
        <t xml:space="preserve">CounterShockChoice</t>
      </text>
    </comment>
    <comment authorId="0" ref="B2">
      <text>
        <t xml:space="preserve">CounterShockBPCost</t>
      </text>
    </comment>
  </commentList>
</comments>
</file>

<file path=xl/comments4.xml><?xml version="1.0" encoding="utf-8"?>
<comments xmlns:r="http://schemas.openxmlformats.org/officeDocument/2006/relationships" xmlns="http://schemas.openxmlformats.org/spreadsheetml/2006/main">
  <authors>
    <author/>
  </authors>
  <commentList>
    <comment authorId="0" ref="A2">
      <text>
        <t xml:space="preserve">CrewChoice</t>
      </text>
    </comment>
    <comment authorId="0" ref="B2">
      <text>
        <t xml:space="preserve">CrewBPCost</t>
      </text>
    </comment>
  </commentList>
</comments>
</file>

<file path=xl/comments5.xml><?xml version="1.0" encoding="utf-8"?>
<comments xmlns:r="http://schemas.openxmlformats.org/officeDocument/2006/relationships" xmlns="http://schemas.openxmlformats.org/spreadsheetml/2006/main">
  <authors>
    <author/>
  </authors>
  <commentList>
    <comment authorId="0" ref="A2">
      <text>
        <t xml:space="preserve">DefensiveChoice</t>
      </text>
    </comment>
    <comment authorId="0" ref="B2">
      <text>
        <t xml:space="preserve">DefensiveTL</t>
      </text>
    </comment>
    <comment authorId="0" ref="C2">
      <text>
        <t xml:space="preserve">DefensivePCUCost</t>
      </text>
    </comment>
    <comment authorId="0" ref="D2">
      <text>
        <t xml:space="preserve">DefensiveBPCost</t>
      </text>
    </comment>
  </commentList>
</comments>
</file>

<file path=xl/comments6.xml><?xml version="1.0" encoding="utf-8"?>
<comments xmlns:r="http://schemas.openxmlformats.org/officeDocument/2006/relationships" xmlns="http://schemas.openxmlformats.org/spreadsheetml/2006/main">
  <authors>
    <author/>
  </authors>
  <commentList>
    <comment authorId="0" ref="B2">
      <text>
        <t xml:space="preserve">DriftRatingT</t>
      </text>
    </comment>
    <comment authorId="0" ref="C2">
      <text>
        <t xml:space="preserve">DriftPCUMin</t>
      </text>
    </comment>
    <comment authorId="0" ref="G2">
      <text>
        <t xml:space="preserve">DriftBPCost</t>
      </text>
    </comment>
    <comment authorId="0" ref="H2">
      <text>
        <t xml:space="preserve">DriftChoice</t>
      </text>
    </comment>
  </commentList>
</comments>
</file>

<file path=xl/comments7.xml><?xml version="1.0" encoding="utf-8"?>
<comments xmlns:r="http://schemas.openxmlformats.org/officeDocument/2006/relationships" xmlns="http://schemas.openxmlformats.org/spreadsheetml/2006/main">
  <authors>
    <author/>
  </authors>
  <commentList>
    <comment authorId="0" ref="K1">
      <text>
        <t xml:space="preserve">bay1Choice</t>
      </text>
    </comment>
    <comment authorId="0" ref="L1">
      <text>
        <t xml:space="preserve">bay2Choice</t>
      </text>
    </comment>
    <comment authorId="0" ref="M1">
      <text>
        <t xml:space="preserve">bay3Choice</t>
      </text>
    </comment>
    <comment authorId="0" ref="N1">
      <text>
        <t xml:space="preserve">bay4Choice</t>
      </text>
    </comment>
    <comment authorId="0" ref="O1">
      <text>
        <t xml:space="preserve">bay5Choice</t>
      </text>
    </comment>
    <comment authorId="0" ref="P1">
      <text>
        <t xml:space="preserve">bay6Choice</t>
      </text>
    </comment>
    <comment authorId="0" ref="Q1">
      <text>
        <t xml:space="preserve">bay7Choice</t>
      </text>
    </comment>
    <comment authorId="0" ref="R1">
      <text>
        <t xml:space="preserve">bay8Choice</t>
      </text>
    </comment>
    <comment authorId="0" ref="S1">
      <text>
        <t xml:space="preserve">bay9Choice</t>
      </text>
    </comment>
    <comment authorId="0" ref="T1">
      <text>
        <t xml:space="preserve">bay10Choice</t>
      </text>
    </comment>
    <comment authorId="0" ref="U1">
      <text>
        <t xml:space="preserve">bay11Choice</t>
      </text>
    </comment>
    <comment authorId="0" ref="V1">
      <text>
        <t xml:space="preserve">bay12Choice</t>
      </text>
    </comment>
    <comment authorId="0" ref="W1">
      <text>
        <t xml:space="preserve">bay13Choice</t>
      </text>
    </comment>
    <comment authorId="0" ref="X1">
      <text>
        <t xml:space="preserve">bay14Choice</t>
      </text>
    </comment>
    <comment authorId="0" ref="Y1">
      <text>
        <t xml:space="preserve">bay15Choice</t>
      </text>
    </comment>
    <comment authorId="0" ref="Z1">
      <text>
        <t xml:space="preserve">bay16Choice</t>
      </text>
    </comment>
    <comment authorId="0" ref="AA1">
      <text>
        <t xml:space="preserve">bay17Choice</t>
      </text>
    </comment>
    <comment authorId="0" ref="AB1">
      <text>
        <t xml:space="preserve">bay18Choice</t>
      </text>
    </comment>
    <comment authorId="0" ref="AC1">
      <text>
        <t xml:space="preserve">bay19Choice</t>
      </text>
    </comment>
    <comment authorId="0" ref="AD1">
      <text>
        <t xml:space="preserve">bay20Choice</t>
      </text>
    </comment>
    <comment authorId="0" ref="A2">
      <text>
        <t xml:space="preserve">BayChoice</t>
      </text>
    </comment>
    <comment authorId="0" ref="C2">
      <text>
        <t xml:space="preserve">BayPCUCost</t>
      </text>
    </comment>
    <comment authorId="0" ref="D2">
      <text>
        <t xml:space="preserve">BayBPCost</t>
      </text>
    </comment>
    <comment authorId="0" ref="E2">
      <text>
        <t xml:space="preserve">BayUsed</t>
      </text>
    </comment>
    <comment authorId="0" ref="J3">
      <text>
        <t xml:space="preserve">baysSortedList</t>
      </text>
    </comment>
    <comment authorId="0" ref="A6">
      <text>
        <t xml:space="preserve">gargantuan or larger</t>
      </text>
    </comment>
    <comment authorId="0" ref="A10">
      <text>
        <t xml:space="preserve">medium or larger</t>
      </text>
    </comment>
    <comment authorId="0" ref="A16">
      <text>
        <t xml:space="preserve">huge or larger</t>
      </text>
    </comment>
  </commentList>
</comments>
</file>

<file path=xl/comments8.xml><?xml version="1.0" encoding="utf-8"?>
<comments xmlns:r="http://schemas.openxmlformats.org/officeDocument/2006/relationships" xmlns="http://schemas.openxmlformats.org/spreadsheetml/2006/main">
  <authors>
    <author/>
  </authors>
  <commentList>
    <comment authorId="0" ref="A2">
      <text>
        <t xml:space="preserve">ICMChoice</t>
      </text>
    </comment>
    <comment authorId="0" ref="B2">
      <text>
        <t xml:space="preserve">ICMBonusT</t>
      </text>
    </comment>
    <comment authorId="0" ref="D2">
      <text>
        <t xml:space="preserve">ICMNodes</t>
      </text>
    </comment>
    <comment authorId="0" ref="E2">
      <text>
        <t xml:space="preserve">ICMPCUCost</t>
      </text>
    </comment>
    <comment authorId="0" ref="F2">
      <text>
        <t xml:space="preserve">ICMBPCost</t>
      </text>
    </comment>
    <comment authorId="0" ref="B32">
      <text>
        <t xml:space="preserve">ICMTier</t>
      </text>
    </comment>
  </commentList>
</comments>
</file>

<file path=xl/comments9.xml><?xml version="1.0" encoding="utf-8"?>
<comments xmlns:r="http://schemas.openxmlformats.org/officeDocument/2006/relationships" xmlns="http://schemas.openxmlformats.org/spreadsheetml/2006/main">
  <authors>
    <author/>
  </authors>
  <commentList>
    <comment authorId="0" ref="A2">
      <text>
        <t xml:space="preserve">CoreChoice</t>
      </text>
    </comment>
    <comment authorId="0" ref="C2">
      <text>
        <t xml:space="preserve">CorePCUCost</t>
      </text>
    </comment>
    <comment authorId="0" ref="D2">
      <text>
        <t xml:space="preserve">CoreBPCost</t>
      </text>
    </comment>
    <comment authorId="0" ref="E2">
      <text>
        <t xml:space="preserve">Core1Eligible</t>
      </text>
    </comment>
    <comment authorId="0" ref="F2">
      <text>
        <t xml:space="preserve">Core2Eligible</t>
      </text>
    </comment>
  </commentList>
</comments>
</file>

<file path=xl/sharedStrings.xml><?xml version="1.0" encoding="utf-8"?>
<sst xmlns="http://schemas.openxmlformats.org/spreadsheetml/2006/main" count="1843" uniqueCount="976">
  <si>
    <t>NICKELA'S STARFINDER SHIP CALCULATOR</t>
  </si>
  <si>
    <t>This sheet was made by Nick Lambert using rules and materials from the Starfinder Core Rulebook, copyright Paizo Inc.</t>
  </si>
  <si>
    <t>Instructions</t>
  </si>
  <si>
    <t>To use this sheet, hit the MAKE A COPY link to copy this to your own Drive.</t>
  </si>
  <si>
    <t>On the Build tab, fill in your choices to create your starship. The sheet will not allow you to do anything you're not allowed to (for instance putting cabins on a tiny fighter), so if a dropdown is empty, you can't put anything there. If you change your mind and want to start over, hit the RESET button at the top of the sheet to delete ALL the choices you've made.</t>
  </si>
  <si>
    <t>Some choices are dependent on other addons. For instance, you cannot install a secondary core unless you buy the expansion bay upgrade "Power Core Housing."</t>
  </si>
  <si>
    <r>
      <t>Budget for Build Points, Power Core Units, and Expansion Bays is tracked in the upper left. If you go over budget on any of them, a warning will appear up top informing you that you've created an illegal build. You can technically create a build with too much PCU, but you have to decide which systems to turn on and off (</t>
    </r>
    <r>
      <rPr>
        <i/>
      </rPr>
      <t>THIS FUNCTIONALITY WILL BE ADDED IN A FUTURE UPDATE)</t>
    </r>
    <r>
      <t>.</t>
    </r>
  </si>
  <si>
    <t>TOTAL</t>
  </si>
  <si>
    <t>Once you're done building your ship, you can see the stas as a traditional Statblock or view it on the player's Ship Sheet.</t>
  </si>
  <si>
    <t>To get an accurate reflection of your ship's current AC, navigate to the Ship Sheet and enter your Pilot's ranks in Piloting into the blue box under Pilot Bonus.</t>
  </si>
  <si>
    <t>Credits</t>
  </si>
  <si>
    <t>Maneuverability</t>
  </si>
  <si>
    <t>Created by Nick Lambert using material from the Starfinder Core Rulebook, copyright Paizo Inc. Thanks go to my understanding wife, the troubleshooters from the Paizo forums who keep breaking my sheet, and Paizo for making an awesome game. If you feel like you have a few extra bucks laying around, feel free to hit up the donate link so I can buy another 52 oz. refill of Diet Dr. Pepper from Casey's.</t>
  </si>
  <si>
    <t>Drift</t>
  </si>
  <si>
    <t>AC</t>
  </si>
  <si>
    <t>TL</t>
  </si>
  <si>
    <t>HP</t>
  </si>
  <si>
    <t>DT</t>
  </si>
  <si>
    <t>SPENT</t>
  </si>
  <si>
    <t>This sheet is</t>
  </si>
  <si>
    <t>v1.42</t>
  </si>
  <si>
    <t>CT</t>
  </si>
  <si>
    <t>Shields</t>
  </si>
  <si>
    <t>The latest version is</t>
  </si>
  <si>
    <t>Attack (Forward)</t>
  </si>
  <si>
    <t>Attack (Port)</t>
  </si>
  <si>
    <t>REMAINING</t>
  </si>
  <si>
    <t>Attack (Starboard)</t>
  </si>
  <si>
    <t>Attack (Aft)</t>
  </si>
  <si>
    <t>Your sheet is</t>
  </si>
  <si>
    <t>Attack (Turret)</t>
  </si>
  <si>
    <t>COST (IN BP)</t>
  </si>
  <si>
    <t>Drift Engine</t>
  </si>
  <si>
    <t>PCU COST</t>
  </si>
  <si>
    <t>BAYS USED</t>
  </si>
  <si>
    <t>CHOICES</t>
  </si>
  <si>
    <t>Systems</t>
  </si>
  <si>
    <t>NICKELA'S
STARFINDER SHIP CALCULATOR</t>
  </si>
  <si>
    <t>Expansion Bays</t>
  </si>
  <si>
    <t>Modifiers</t>
  </si>
  <si>
    <t>hide this column</t>
  </si>
  <si>
    <t xml:space="preserve">hide this column </t>
  </si>
  <si>
    <t>Complement</t>
  </si>
  <si>
    <t>More Starfinder Resources</t>
  </si>
  <si>
    <t>please only edit the fields in this column</t>
  </si>
  <si>
    <t>STEP 1: CONCEPTUALIZE</t>
  </si>
  <si>
    <t>STARSHIP NAME</t>
  </si>
  <si>
    <t>MAKE AND MODEL</t>
  </si>
  <si>
    <t>Select Tier</t>
  </si>
  <si>
    <t>STEP 2: DETERMINE TIER AND BUILD POINTS</t>
  </si>
  <si>
    <t>Name</t>
  </si>
  <si>
    <t>Bonus to AC</t>
  </si>
  <si>
    <t>Special</t>
  </si>
  <si>
    <t>TL mod</t>
  </si>
  <si>
    <t>Turn Distance mod</t>
  </si>
  <si>
    <t>Cost Multiplier</t>
  </si>
  <si>
    <t>Cost (in BP)</t>
  </si>
  <si>
    <t>-</t>
  </si>
  <si>
    <t>Mk 1 armor</t>
  </si>
  <si>
    <t>STEP 3: SELECT A FRAME</t>
  </si>
  <si>
    <t>Mk 2 armor</t>
  </si>
  <si>
    <t>Mk 3 armor</t>
  </si>
  <si>
    <t>TIER</t>
  </si>
  <si>
    <t>SIZE</t>
  </si>
  <si>
    <t>Mk 4 armor</t>
  </si>
  <si>
    <t>Mk 5 armor</t>
  </si>
  <si>
    <t>-1 TL</t>
  </si>
  <si>
    <t>please only edit blue fields</t>
  </si>
  <si>
    <t>Mk 6 armor</t>
  </si>
  <si>
    <t>Mk 7 armor</t>
  </si>
  <si>
    <t>Mk 8 armor</t>
  </si>
  <si>
    <t>Mk 9 armor</t>
  </si>
  <si>
    <t>STARSHIP SHEET</t>
  </si>
  <si>
    <t>-2 TL, +1 turn</t>
  </si>
  <si>
    <t>MANEUVERABILITY</t>
  </si>
  <si>
    <t>Mk 10 armor</t>
  </si>
  <si>
    <t>BASE HP</t>
  </si>
  <si>
    <t>Mk 11 armor</t>
  </si>
  <si>
    <t>Mk 12 armor</t>
  </si>
  <si>
    <t>-3 TL, +2 turn</t>
  </si>
  <si>
    <t>HP INCREMENT</t>
  </si>
  <si>
    <t>Mk 13 armor</t>
  </si>
  <si>
    <t>Mk 14 armor</t>
  </si>
  <si>
    <t>Mk 15 armor</t>
  </si>
  <si>
    <t>-4 TL, +3 turn</t>
  </si>
  <si>
    <t>ArmorTL&gt;&gt;&gt;</t>
  </si>
  <si>
    <t>BASE CT</t>
  </si>
  <si>
    <t>MOUNTS</t>
  </si>
  <si>
    <t>EXPANSION BAYS</t>
  </si>
  <si>
    <t>MINIMUM CREW</t>
  </si>
  <si>
    <t>MAXIMUM CREW</t>
  </si>
  <si>
    <t>NOTES</t>
  </si>
  <si>
    <t>PILOT
BONUS</t>
  </si>
  <si>
    <t>ARMOR
BONUS</t>
  </si>
  <si>
    <t>SIZE
MOD</t>
  </si>
  <si>
    <t>MISC
MOD</t>
  </si>
  <si>
    <t>STEP 4: SELECT A POWER CORE</t>
  </si>
  <si>
    <t>Shock Grid</t>
  </si>
  <si>
    <t>PCU GAIN</t>
  </si>
  <si>
    <t>BP Cost</t>
  </si>
  <si>
    <t>shock grid rank 1</t>
  </si>
  <si>
    <t>shock grid rank 2</t>
  </si>
  <si>
    <t>SECONDARY CORE? (must select POWER CORE HOUSING from expansion bays)</t>
  </si>
  <si>
    <t>shock grid rank 3</t>
  </si>
  <si>
    <t>=10+</t>
  </si>
  <si>
    <t>shock grid rank 4</t>
  </si>
  <si>
    <t>+</t>
  </si>
  <si>
    <t>STEP 5: SELECT THRUSTERS</t>
  </si>
  <si>
    <t>FRAME</t>
  </si>
  <si>
    <t>COUNTER
MEASURES</t>
  </si>
  <si>
    <t>Speed (in Hexes)</t>
  </si>
  <si>
    <t>Piloting Mod</t>
  </si>
  <si>
    <t>STEP 6: SELECT OTHER SYSTEMS</t>
  </si>
  <si>
    <t>SPEED</t>
  </si>
  <si>
    <t>CURRENT</t>
  </si>
  <si>
    <t>ARMOR</t>
  </si>
  <si>
    <t>HULL POINTS</t>
  </si>
  <si>
    <t>BONUS TO AC</t>
  </si>
  <si>
    <t>Bonus to TL</t>
  </si>
  <si>
    <t>PCU</t>
  </si>
  <si>
    <t>Mk 1 defenses</t>
  </si>
  <si>
    <t>Mk 2 defenses</t>
  </si>
  <si>
    <t>Mk 3 defenses</t>
  </si>
  <si>
    <t>Mk 4 defenses</t>
  </si>
  <si>
    <t>Mk 5 defenses</t>
  </si>
  <si>
    <t>Mk 6 defenses</t>
  </si>
  <si>
    <t>Mk 7 defenses</t>
  </si>
  <si>
    <t>Mk 8 defenses</t>
  </si>
  <si>
    <t>Mk 9 defenses</t>
  </si>
  <si>
    <t>Mk 10 defenses</t>
  </si>
  <si>
    <t>Mk 11 defenses</t>
  </si>
  <si>
    <t>Mk 12 defenses</t>
  </si>
  <si>
    <t>Mk 13 defenses</t>
  </si>
  <si>
    <t>Mk 14 defenses</t>
  </si>
  <si>
    <t>Mk 15 defenses</t>
  </si>
  <si>
    <t>SPECIAL</t>
  </si>
  <si>
    <t>DAMAGE THRESHOLD</t>
  </si>
  <si>
    <t>CRITICAL THRESHOLD</t>
  </si>
  <si>
    <t>COMPUTER OR INTEGRATED CONTROL MODULE</t>
  </si>
  <si>
    <t>BONUS</t>
  </si>
  <si>
    <t>DRIFT RATING</t>
  </si>
  <si>
    <t>SHIELD TOTAL</t>
  </si>
  <si>
    <t>NODES</t>
  </si>
  <si>
    <t>SHIELD REGEN.</t>
  </si>
  <si>
    <t>Engine Rating</t>
  </si>
  <si>
    <t>Min. PCU</t>
  </si>
  <si>
    <t>Max Size</t>
  </si>
  <si>
    <t>maxSizeNum</t>
  </si>
  <si>
    <t>Eligible Drift Engines</t>
  </si>
  <si>
    <t>Signal Basic (75 PCU min.)</t>
  </si>
  <si>
    <t>CREW QUARTERS</t>
  </si>
  <si>
    <t>MODIFIERS</t>
  </si>
  <si>
    <t>DEFENSIVE COUNTERMEASURES</t>
  </si>
  <si>
    <t>BONUS TO TL</t>
  </si>
  <si>
    <t>Signal Booster (100 PCU min.)</t>
  </si>
  <si>
    <t>Huge</t>
  </si>
  <si>
    <t>Signal Major (150 PCU min.)</t>
  </si>
  <si>
    <t>Large</t>
  </si>
  <si>
    <t>DRIFT ENGINE</t>
  </si>
  <si>
    <t>Signal Superior (175 PCU min.)</t>
  </si>
  <si>
    <t>MINIMUM PCU</t>
  </si>
  <si>
    <t>Signal Ultra (200 PCU min.)</t>
  </si>
  <si>
    <t>Medium</t>
  </si>
  <si>
    <t>ENGINE RATING</t>
  </si>
  <si>
    <t>N/A</t>
  </si>
  <si>
    <t>SECURITY</t>
  </si>
  <si>
    <t>WEAPONS 
(FORWARD)</t>
  </si>
  <si>
    <t>WEAPONS 
(TURRET)</t>
  </si>
  <si>
    <t>anti-hacking system</t>
  </si>
  <si>
    <t>Expansion Bay</t>
  </si>
  <si>
    <t>antipersonnel weapon</t>
  </si>
  <si>
    <t>number()</t>
  </si>
  <si>
    <t>biometric locks</t>
  </si>
  <si>
    <t>WEAPONS 
(PORT)</t>
  </si>
  <si>
    <t>WEAPONS 
(STARBOARD)</t>
  </si>
  <si>
    <t>self-destruct system</t>
  </si>
  <si>
    <t>Bays used</t>
  </si>
  <si>
    <t/>
  </si>
  <si>
    <t>COMPUTER COUNTERMEASURES</t>
  </si>
  <si>
    <t>possible bays</t>
  </si>
  <si>
    <t>list from build</t>
  </si>
  <si>
    <t>empty? cargo hold</t>
  </si>
  <si>
    <t>with number</t>
  </si>
  <si>
    <t>sorted list</t>
  </si>
  <si>
    <t>alarm</t>
  </si>
  <si>
    <t>arcane laboratory</t>
  </si>
  <si>
    <t>fake shell</t>
  </si>
  <si>
    <t>WEAPONS 
(AFT)</t>
  </si>
  <si>
    <t>feedback</t>
  </si>
  <si>
    <t>firewall</t>
  </si>
  <si>
    <t>lockout</t>
  </si>
  <si>
    <t>shock grid</t>
  </si>
  <si>
    <t>wipe</t>
  </si>
  <si>
    <t>SENSORS</t>
  </si>
  <si>
    <t>RANGE</t>
  </si>
  <si>
    <t>CREW</t>
  </si>
  <si>
    <t>MODIFIER</t>
  </si>
  <si>
    <t>BONUSES</t>
  </si>
  <si>
    <t>SHIELDS</t>
  </si>
  <si>
    <t>TOTAL SP</t>
  </si>
  <si>
    <t>CAPTAIN</t>
  </si>
  <si>
    <t>REGEN.</t>
  </si>
  <si>
    <t>EXPANSION BAYS (empty bays will be converted to cargo holds)</t>
  </si>
  <si>
    <t>⏣</t>
  </si>
  <si>
    <t>ENGINEERS</t>
  </si>
  <si>
    <t>GUNNERS</t>
  </si>
  <si>
    <t>PILOT</t>
  </si>
  <si>
    <t>SCIENCE OFF.</t>
  </si>
  <si>
    <t>SYSTEMS</t>
  </si>
  <si>
    <t>CARGO/PASSENGERS</t>
  </si>
  <si>
    <t>POWER CORE</t>
  </si>
  <si>
    <t>CRITICAL DAMAGE</t>
  </si>
  <si>
    <t>LIFE SUPPORT (1-10)</t>
  </si>
  <si>
    <r>
      <rPr>
        <b/>
      </rPr>
      <t>Glitching</t>
    </r>
    <r>
      <t>: all checks* for affected system at -2</t>
    </r>
  </si>
  <si>
    <t>SENSORS (11-30)</t>
  </si>
  <si>
    <t>FORWARD (1)</t>
  </si>
  <si>
    <r>
      <rPr>
        <b/>
      </rPr>
      <t>Malfunctioning</t>
    </r>
    <r>
      <t>: all checks* for affected system at–4; no push actions for affected system; power core damage affects all other systems at -2 (stacks)</t>
    </r>
  </si>
  <si>
    <t>STARBOARD(2)</t>
  </si>
  <si>
    <t>WEAPONS ARRAY (31-60)</t>
  </si>
  <si>
    <t>AFT (3)</t>
  </si>
  <si>
    <r>
      <rPr>
        <b/>
      </rPr>
      <t>Wrecked</t>
    </r>
    <r>
      <t>: all checks* for affected systems automatically fail; can still take minor actions; power core damage affects all other systems at -4 (stacks)</t>
    </r>
  </si>
  <si>
    <t>ENGINES (61-80)</t>
  </si>
  <si>
    <t>PORT (4)</t>
  </si>
  <si>
    <t>WEAPONS</t>
  </si>
  <si>
    <t>upgrade cost</t>
  </si>
  <si>
    <t>linkage cost</t>
  </si>
  <si>
    <t>link test for data val.</t>
  </si>
  <si>
    <t>arraytest for linking arrays</t>
  </si>
  <si>
    <t>showing weapons for the stablock</t>
  </si>
  <si>
    <t>UPGRADE OR ADD MOUNT</t>
  </si>
  <si>
    <t>LINK</t>
  </si>
  <si>
    <t>DAMAGE</t>
  </si>
  <si>
    <t>POWER CORE (81-00)</t>
  </si>
  <si>
    <t>*except the hold it together and patch engineer actions</t>
  </si>
  <si>
    <t>Bonus</t>
  </si>
  <si>
    <t>Nodes</t>
  </si>
  <si>
    <t>basic computer (+0)</t>
  </si>
  <si>
    <t>mk 1 mononode</t>
  </si>
  <si>
    <t>+1 to any 1 check per round</t>
  </si>
  <si>
    <t>mk 1 duonode</t>
  </si>
  <si>
    <t>+1 to any 2 checks per round</t>
  </si>
  <si>
    <t>mk 1 trinode</t>
  </si>
  <si>
    <t>+1 to any 3 checks per round</t>
  </si>
  <si>
    <t>mk 1 tetranode</t>
  </si>
  <si>
    <t>+1 to any 4 checks per round</t>
  </si>
  <si>
    <t>mk 2 mononode</t>
  </si>
  <si>
    <t>+2 to any 1 check per round</t>
  </si>
  <si>
    <t>mk 2 duonode</t>
  </si>
  <si>
    <t>+2 to any 2 checks per round</t>
  </si>
  <si>
    <t>mk 2 trinode</t>
  </si>
  <si>
    <t>+2 to any 3 checks per round</t>
  </si>
  <si>
    <t>mk 2 tretranode</t>
  </si>
  <si>
    <t>+2 to any 4 checks per round</t>
  </si>
  <si>
    <t>mk 3 mononode</t>
  </si>
  <si>
    <t>+3 to any 1 check per round</t>
  </si>
  <si>
    <t>mk 3 duonode</t>
  </si>
  <si>
    <t>+3 to any 2 checks per round</t>
  </si>
  <si>
    <t>mk 3 trinode</t>
  </si>
  <si>
    <t>+3 to any 3 checks per round</t>
  </si>
  <si>
    <t>mk 3 tretranode</t>
  </si>
  <si>
    <t>+3 to any 4 checks per round</t>
  </si>
  <si>
    <t>mk 4 mononode</t>
  </si>
  <si>
    <t>+4 to any 1 check per round</t>
  </si>
  <si>
    <t>mk 4 duonode</t>
  </si>
  <si>
    <t>+4 to any 2 checks per round</t>
  </si>
  <si>
    <t>mk 4 trinode</t>
  </si>
  <si>
    <t>+4 to any 3 checks per round'</t>
  </si>
  <si>
    <t>mk 5 mononode</t>
  </si>
  <si>
    <t>+5 to any 1 check per round</t>
  </si>
  <si>
    <t>mk 5 duonode</t>
  </si>
  <si>
    <t>+5 to any 2 checks per round</t>
  </si>
  <si>
    <t>mk 5 trinode</t>
  </si>
  <si>
    <t>+5 to any 3 checks per round</t>
  </si>
  <si>
    <t>mk 6 mononode</t>
  </si>
  <si>
    <t>+6 to any 1 check per round</t>
  </si>
  <si>
    <t>mk 6 duonode</t>
  </si>
  <si>
    <t>+6 to any 2 checks per round</t>
  </si>
  <si>
    <t>mk 7 mononode</t>
  </si>
  <si>
    <t>+7 to any 1 check per round</t>
  </si>
  <si>
    <t>mk 7 duonode</t>
  </si>
  <si>
    <t>+7 to any 2 checks per round</t>
  </si>
  <si>
    <t>mk 8 mononode</t>
  </si>
  <si>
    <t>+8 to any 1 check per round</t>
  </si>
  <si>
    <t>mk 8 duonode</t>
  </si>
  <si>
    <t>+8 to any 2 checks per round</t>
  </si>
  <si>
    <t>mk 9 mononode</t>
  </si>
  <si>
    <t>+9 to any 1 check per round</t>
  </si>
  <si>
    <t>mk 9 duonode</t>
  </si>
  <si>
    <t>+9 to any 2 checks per round</t>
  </si>
  <si>
    <t>mk 10 mononode</t>
  </si>
  <si>
    <t>+10 to any 1 check per round</t>
  </si>
  <si>
    <t>mk 10 duonode</t>
  </si>
  <si>
    <t>+10 to any 2 checks per round</t>
  </si>
  <si>
    <t>Weapons (port)</t>
  </si>
  <si>
    <t>computer tier</t>
  </si>
  <si>
    <t>Core</t>
  </si>
  <si>
    <t>Size</t>
  </si>
  <si>
    <t>CoreEligible</t>
  </si>
  <si>
    <t>Core2Eligible</t>
  </si>
  <si>
    <t>Micron Light (50 PCU)</t>
  </si>
  <si>
    <t>T</t>
  </si>
  <si>
    <t>Micron Heavy (70 PCU)</t>
  </si>
  <si>
    <t>Micron Ultra (80 PCU)</t>
  </si>
  <si>
    <t>Arcus Light (75 PCU)</t>
  </si>
  <si>
    <t>T, S</t>
  </si>
  <si>
    <t>Pulse Brown (90 PCU)</t>
  </si>
  <si>
    <t>Pulse Black (120 PCU)</t>
  </si>
  <si>
    <t>Pulse White (140 PCU)</t>
  </si>
  <si>
    <t>Pulse Gray (100 PCU)</t>
  </si>
  <si>
    <t>T, S, M</t>
  </si>
  <si>
    <t>Arcus Heavy (130 PCU)</t>
  </si>
  <si>
    <t>Pulse Green (150 PCU)</t>
  </si>
  <si>
    <t>Pulse Red (175 PCU)</t>
  </si>
  <si>
    <t>Pulse Blue (200 PCU)</t>
  </si>
  <si>
    <t>Weapons (starboard)</t>
  </si>
  <si>
    <t>Arcus Ultra (150 PCU)</t>
  </si>
  <si>
    <t>S, M, L</t>
  </si>
  <si>
    <t>Arcus Maximum (200 PCU)</t>
  </si>
  <si>
    <t>Pulse Orange (250 PCU)</t>
  </si>
  <si>
    <t>Pulse Prismatic (300 PCU)</t>
  </si>
  <si>
    <t>Nova Light (150 PCU)</t>
  </si>
  <si>
    <t>M, L, H</t>
  </si>
  <si>
    <t>Nova Heavy (200 PCU)</t>
  </si>
  <si>
    <t>Nova Ultra (300 PCU)</t>
  </si>
  <si>
    <t>Gateway Light (300 PCU)</t>
  </si>
  <si>
    <t>L, H, G</t>
  </si>
  <si>
    <t>Gateway Heavy (400 PCU)</t>
  </si>
  <si>
    <t>Gateway Ultra (500 PCU)</t>
  </si>
  <si>
    <t>H, G, C</t>
  </si>
  <si>
    <t>Anti-Hacking Systems</t>
  </si>
  <si>
    <t>Antipersonnel weapon</t>
  </si>
  <si>
    <t>Eligible antipersonnel weapons</t>
  </si>
  <si>
    <t>anti-hacking x1</t>
  </si>
  <si>
    <t>l-zero rifle, frostibte-class</t>
  </si>
  <si>
    <t>Weapons (aft)</t>
  </si>
  <si>
    <t>anti-hacking x2</t>
  </si>
  <si>
    <t>l-zero rifle, hailstorm-class</t>
  </si>
  <si>
    <t>anti-hacking x3</t>
  </si>
  <si>
    <t>l-zero rifle, blizzard-class</t>
  </si>
  <si>
    <t>anti-hacking x4</t>
  </si>
  <si>
    <t>l-zero rifle, avalanche-class</t>
  </si>
  <si>
    <t>l-flame rifle</t>
  </si>
  <si>
    <t>l-laser rifle, azimuth</t>
  </si>
  <si>
    <t>l-laser rifle, corona</t>
  </si>
  <si>
    <t>l-laser rifle, aphelion</t>
  </si>
  <si>
    <t>l-autobeam rifle, tacitcal</t>
  </si>
  <si>
    <t>l-laser rifle, perihelion</t>
  </si>
  <si>
    <t>l-autobeam rifle, advanced</t>
  </si>
  <si>
    <t>l-laser rifle, parallax</t>
  </si>
  <si>
    <t>l-autobeam rifle, elite</t>
  </si>
  <si>
    <t>l-laser rifle, zenith</t>
  </si>
  <si>
    <t>l-plasma rifle, red star</t>
  </si>
  <si>
    <t>l-plasma rifle, yellow star</t>
  </si>
  <si>
    <t>l-plasma caster, white star</t>
  </si>
  <si>
    <t>l-plasma rifle, white star</t>
  </si>
  <si>
    <t>l-plasma caster, blue star</t>
  </si>
  <si>
    <t>l-plasma rifle, blue star</t>
  </si>
  <si>
    <t>l-hunting rifle</t>
  </si>
  <si>
    <t>l-scattergun, utility</t>
  </si>
  <si>
    <t>l-acid dart rifle, tactical</t>
  </si>
  <si>
    <t>l-autotarget rifle</t>
  </si>
  <si>
    <t>l-crossbolter, tactical</t>
  </si>
  <si>
    <t>l-acid dart rifle, dual</t>
  </si>
  <si>
    <t>l-seeker rifle, tactical</t>
  </si>
  <si>
    <t>l-crossbolter, dual</t>
  </si>
  <si>
    <t>l-scattergun, snub</t>
  </si>
  <si>
    <t>l-magnetar rifle,tactical</t>
  </si>
  <si>
    <t>l-combat rifle</t>
  </si>
  <si>
    <t>l-acid dart rifle, comlpex</t>
  </si>
  <si>
    <t>l-scattergun, impact</t>
  </si>
  <si>
    <t>l-gyrojet rifle, tactical</t>
  </si>
  <si>
    <t>l-magnetar rifle, advanced</t>
  </si>
  <si>
    <t>l-seeker rifle, advanced</t>
  </si>
  <si>
    <t>l-gyrojet rifle, advanced</t>
  </si>
  <si>
    <t>l-scattergun, vortex</t>
  </si>
  <si>
    <t>l-magnetar rifle, elite</t>
  </si>
  <si>
    <t>l-gyrojet rifle, elite</t>
  </si>
  <si>
    <t>l-seeker rifle, elite</t>
  </si>
  <si>
    <t>l-scattergun, grapeshot</t>
  </si>
  <si>
    <t>l-magnetar rifle, paragon</t>
  </si>
  <si>
    <t>l-gyrojet rifle, paragon</t>
  </si>
  <si>
    <t>l-seeker rifle, paragon</t>
  </si>
  <si>
    <t>l-pulsecaster rifle</t>
  </si>
  <si>
    <t>Weapons (turret)</t>
  </si>
  <si>
    <t>l-arc emitter,tactical</t>
  </si>
  <si>
    <t>l-arc rifle, staitc</t>
  </si>
  <si>
    <t>l-arc emitter, advanced</t>
  </si>
  <si>
    <t>l-arc rifle, aurora</t>
  </si>
  <si>
    <t>l-arc rifle, storm</t>
  </si>
  <si>
    <t>l-arc rifle, tempest</t>
  </si>
  <si>
    <t>l-sonic rifle, thunderstrike</t>
  </si>
  <si>
    <t>l-streetsweeper, thunderstrike</t>
  </si>
  <si>
    <t>l-sonic rifle, lfd</t>
  </si>
  <si>
    <t>l-streetsweeper, lfd</t>
  </si>
  <si>
    <t>l-sonic rifle, hfd</t>
  </si>
  <si>
    <t>l-streetsweeper, hfd</t>
  </si>
  <si>
    <t>l-sonic rifle, banshee</t>
  </si>
  <si>
    <t>l-needler rifle</t>
  </si>
  <si>
    <t>h-zero cannon, tactical</t>
  </si>
  <si>
    <t>h-zero cannon, advanced</t>
  </si>
  <si>
    <t>h-zero cannon, elite</t>
  </si>
  <si>
    <t>h-flamethrower, ifrit-class</t>
  </si>
  <si>
    <t>h-flamethrower, salamander-class</t>
  </si>
  <si>
    <t>h-flamethrower, hellhound-class</t>
  </si>
  <si>
    <t>h-flamethrower, firedrake-class</t>
  </si>
  <si>
    <t>h-flamethrower, phoenix-class</t>
  </si>
  <si>
    <t>h-artillery laser, azimuth</t>
  </si>
  <si>
    <t>h-artillery laser, corona</t>
  </si>
  <si>
    <t>h-artillery laser, aphellion</t>
  </si>
  <si>
    <t>h-autobeam artillery, tactical</t>
  </si>
  <si>
    <t>h-artillery laser, perihelion</t>
  </si>
  <si>
    <t>h-autobeam artillery, advanced</t>
  </si>
  <si>
    <t>h-artillery laser, parallax</t>
  </si>
  <si>
    <t>h-autobeam artillery, elite</t>
  </si>
  <si>
    <t>h-artillery laser, zenith</t>
  </si>
  <si>
    <t>h-plasma cannon, yellow star</t>
  </si>
  <si>
    <t>h-plasma cannon, white star</t>
  </si>
  <si>
    <t>h-plasma cannon, red star</t>
  </si>
  <si>
    <t>h-plasma cannon, blue star</t>
  </si>
  <si>
    <t>h-reaction cannon, light</t>
  </si>
  <si>
    <t>h-machine gun, squad</t>
  </si>
  <si>
    <t>h-x-gen gun, tactical</t>
  </si>
  <si>
    <t>h-reaction cannon, tactical</t>
  </si>
  <si>
    <t>h-machine gun, light</t>
  </si>
  <si>
    <t>h-x-gen gun, advanced</t>
  </si>
  <si>
    <t>h-reaction cannon, heavy</t>
  </si>
  <si>
    <t>h-stellar cannon, light</t>
  </si>
  <si>
    <t>h-crosbolter, advanced</t>
  </si>
  <si>
    <t>h-machine gun, medium</t>
  </si>
  <si>
    <t>h-x-gen gun, elite</t>
  </si>
  <si>
    <t>h-crossbolter, elite</t>
  </si>
  <si>
    <t>h-reaction cannon, advanced</t>
  </si>
  <si>
    <t>h-stellar cannon, heavy</t>
  </si>
  <si>
    <t>h-machine gun, heavy</t>
  </si>
  <si>
    <t>h-reaction cannon, elite</t>
  </si>
  <si>
    <t>h-crossbolter, paragon</t>
  </si>
  <si>
    <t>h-reaction cannon, paragon</t>
  </si>
  <si>
    <t>h-x-gen gun, paragon</t>
  </si>
  <si>
    <t>h-shock caster, static</t>
  </si>
  <si>
    <t>h-shock caster, aurora</t>
  </si>
  <si>
    <t>h-shock caster, storm</t>
  </si>
  <si>
    <t>h-shock caster, tempest</t>
  </si>
  <si>
    <t>h-screamer, thunderstrike</t>
  </si>
  <si>
    <t>h-screamer, lfd</t>
  </si>
  <si>
    <t>h-screamer, hfd</t>
  </si>
  <si>
    <t>h-nil grenate launcher, merc</t>
  </si>
  <si>
    <t>h-nil grenade launcher, squad</t>
  </si>
  <si>
    <t>h-imds missile launcher</t>
  </si>
  <si>
    <t>Sensors</t>
  </si>
  <si>
    <t>Range</t>
  </si>
  <si>
    <t>Modifier</t>
  </si>
  <si>
    <t>cut-rate sensors (-2)</t>
  </si>
  <si>
    <t>Short</t>
  </si>
  <si>
    <t>budget short-range sensors (+0)</t>
  </si>
  <si>
    <t>+0</t>
  </si>
  <si>
    <t>basic short-range sensors (+2)</t>
  </si>
  <si>
    <t>+2</t>
  </si>
  <si>
    <t>advanced short-range sensors (+4)</t>
  </si>
  <si>
    <t>+4</t>
  </si>
  <si>
    <t>budget medium-range sensors (+0)</t>
  </si>
  <si>
    <t>basic medium-range sensors (+2)</t>
  </si>
  <si>
    <t>advanced medium-range sensors (+4)</t>
  </si>
  <si>
    <t>budget long-range sensors (+0)</t>
  </si>
  <si>
    <t>Long</t>
  </si>
  <si>
    <t>basic long-range sensors (+2)</t>
  </si>
  <si>
    <t>advanced long-range sensors (+4)</t>
  </si>
  <si>
    <t>Shield Name</t>
  </si>
  <si>
    <t>Total SP</t>
  </si>
  <si>
    <t>Regen</t>
  </si>
  <si>
    <t>Cost (BP)</t>
  </si>
  <si>
    <t>Balance shields</t>
  </si>
  <si>
    <t>basic shields 10</t>
  </si>
  <si>
    <t>1/min.</t>
  </si>
  <si>
    <t>(forward 3, port 2, starboard 2, aft 3)</t>
  </si>
  <si>
    <t>basic shields 20</t>
  </si>
  <si>
    <t>(forward 5, port 5, starboard 5, aft 5)</t>
  </si>
  <si>
    <t>basic shields 30</t>
  </si>
  <si>
    <t>(forward 8, port 7, starboard 7, aft 8)</t>
  </si>
  <si>
    <t>basic shields 40</t>
  </si>
  <si>
    <t>(forward 10, port 10, starboard 10, aft 10)</t>
  </si>
  <si>
    <t>light shields 50</t>
  </si>
  <si>
    <t>2/min.</t>
  </si>
  <si>
    <t>(forward 13, port 12, starboard 12, aft 13)</t>
  </si>
  <si>
    <t>light shields 60</t>
  </si>
  <si>
    <t>(forward 15, port 15, starboard 15, aft 15)</t>
  </si>
  <si>
    <t>light shields 70</t>
  </si>
  <si>
    <t>(forward 18, port 17, starboard 17, aft 18)</t>
  </si>
  <si>
    <t>light shields 80</t>
  </si>
  <si>
    <t>(forward 20, port 20, starboard 20, aft 20)</t>
  </si>
  <si>
    <t>medium shields 90</t>
  </si>
  <si>
    <t>4/min.</t>
  </si>
  <si>
    <t>(forward 23, port 22, starboard 22, aft 23)</t>
  </si>
  <si>
    <t>medium shields 100</t>
  </si>
  <si>
    <t>(forward 25, port 25, starboard 25, aft 25)</t>
  </si>
  <si>
    <t>medium shields 120</t>
  </si>
  <si>
    <t>(forward 30, port 30, starboard 30, aft 30)</t>
  </si>
  <si>
    <t>medium shields 140</t>
  </si>
  <si>
    <t>8/min.</t>
  </si>
  <si>
    <t>(forward 35, port 35, starboard 35, aft 35)</t>
  </si>
  <si>
    <t>medium shields 160</t>
  </si>
  <si>
    <t>(forward 40, port 40, starboard 40, aft 40)</t>
  </si>
  <si>
    <t>medium shields 200</t>
  </si>
  <si>
    <t>(forward 50, port 50, starboard 50, aft 50)</t>
  </si>
  <si>
    <t>heavy shields 240</t>
  </si>
  <si>
    <t>16/min.</t>
  </si>
  <si>
    <t>(forward 60, port 60, starboard 60, aft 60)</t>
  </si>
  <si>
    <t>heavy shields 280</t>
  </si>
  <si>
    <t>(forward 70, port 70, starboard 70, aft 70)</t>
  </si>
  <si>
    <t>heavy shields 320</t>
  </si>
  <si>
    <t>(forward 80, port 80, starboard 80, aft 80)</t>
  </si>
  <si>
    <t>heavy shields 360</t>
  </si>
  <si>
    <t>32/min.</t>
  </si>
  <si>
    <t>(forward 90, port 90, starboard 90, aft 90)</t>
  </si>
  <si>
    <t>heavy shields 420</t>
  </si>
  <si>
    <t>(forward 105, port 105, starboard 105, aft 105)</t>
  </si>
  <si>
    <t>heavy shields 480</t>
  </si>
  <si>
    <t>(forward 120, port 120, starboard 120, aft 120)</t>
  </si>
  <si>
    <t>superior shields 540</t>
  </si>
  <si>
    <t>64/min.</t>
  </si>
  <si>
    <t>(forward 135, port 135, starboard 135, aft 135)</t>
  </si>
  <si>
    <t>superior shields 600</t>
  </si>
  <si>
    <t>(forward 150, port 150, starboard 150, aft 150)</t>
  </si>
  <si>
    <t>Frame</t>
  </si>
  <si>
    <t>affordable frames</t>
  </si>
  <si>
    <t>Manueverability TURN ONLY</t>
  </si>
  <si>
    <t>Manueverability</t>
  </si>
  <si>
    <t>FramePilot</t>
  </si>
  <si>
    <t>FrameTurn</t>
  </si>
  <si>
    <t>increment</t>
  </si>
  <si>
    <t>Mounts</t>
  </si>
  <si>
    <t>fore</t>
  </si>
  <si>
    <t>FA1</t>
  </si>
  <si>
    <t>FA2</t>
  </si>
  <si>
    <t>FA3</t>
  </si>
  <si>
    <t>FA4</t>
  </si>
  <si>
    <t>port</t>
  </si>
  <si>
    <t>PA1</t>
  </si>
  <si>
    <t>PA2</t>
  </si>
  <si>
    <t>PA3</t>
  </si>
  <si>
    <t>PA4</t>
  </si>
  <si>
    <t>starboard</t>
  </si>
  <si>
    <t>SA1</t>
  </si>
  <si>
    <t>SA2</t>
  </si>
  <si>
    <t>SA3</t>
  </si>
  <si>
    <t>SA4</t>
  </si>
  <si>
    <t>aft</t>
  </si>
  <si>
    <t>AA1</t>
  </si>
  <si>
    <t>AA2</t>
  </si>
  <si>
    <t>AA3</t>
  </si>
  <si>
    <t>AA4</t>
  </si>
  <si>
    <t>turret</t>
  </si>
  <si>
    <t>T1</t>
  </si>
  <si>
    <t>T2</t>
  </si>
  <si>
    <t>T3</t>
  </si>
  <si>
    <t>T4</t>
  </si>
  <si>
    <t>Minimum Crew</t>
  </si>
  <si>
    <t>Maximum Crew</t>
  </si>
  <si>
    <t>Cost</t>
  </si>
  <si>
    <t>Notes</t>
  </si>
  <si>
    <t>Racer</t>
  </si>
  <si>
    <t>Tiny</t>
  </si>
  <si>
    <t>perfect (+2 Piloting, turn 0)</t>
  </si>
  <si>
    <t>forward arc (1 light), aft arc (1 light)</t>
  </si>
  <si>
    <t>1 light</t>
  </si>
  <si>
    <t>light</t>
  </si>
  <si>
    <t>Interceptor</t>
  </si>
  <si>
    <t>perfect (turn 0)</t>
  </si>
  <si>
    <t>forward arc (2 light)</t>
  </si>
  <si>
    <t>2 light</t>
  </si>
  <si>
    <t>Fighter</t>
  </si>
  <si>
    <t>good (turn 1)</t>
  </si>
  <si>
    <t>good (+1 Piloting, turn 1)</t>
  </si>
  <si>
    <t>forward arc (2 light [1 must be a tracking weapon], aft arc (1 light)</t>
  </si>
  <si>
    <t>light (tracking)</t>
  </si>
  <si>
    <t>Shuttle</t>
  </si>
  <si>
    <t>Small</t>
  </si>
  <si>
    <t>forward arc (1 light)</t>
  </si>
  <si>
    <t>(usually cargo holds or passenger seating)</t>
  </si>
  <si>
    <t>Light Freighter</t>
  </si>
  <si>
    <t>forward arc (2 light), port arc (1 light), starboard arc (1 light)</t>
  </si>
  <si>
    <t>Explorer</t>
  </si>
  <si>
    <t>forward arc (1 light), port arc (1 light), starboard arc (1 light), turret (1 light)</t>
  </si>
  <si>
    <t>Transport</t>
  </si>
  <si>
    <t>average (turn 2)</t>
  </si>
  <si>
    <t>average (+0 Piloting, turn 2)</t>
  </si>
  <si>
    <t>forward arc (1 heavy, 1 light), aft arc (1 light), turret (2 light)</t>
  </si>
  <si>
    <t>1 heavy, 1 light</t>
  </si>
  <si>
    <t>heavy</t>
  </si>
  <si>
    <t>Destroyer</t>
  </si>
  <si>
    <t>forward arc (2 heavy), port arc (1 light), starboard arc (1 light), aft arc (1 light), turret (1 light)</t>
  </si>
  <si>
    <t>2 heavy</t>
  </si>
  <si>
    <t>Heavy Frieghter</t>
  </si>
  <si>
    <t>forward arc (1 heavy, 2 light), port arc (1 heavy), starboard arc (1 heavy)</t>
  </si>
  <si>
    <t>1 heavy, 2 light</t>
  </si>
  <si>
    <t>1 heavy</t>
  </si>
  <si>
    <t>Bulk Freighter</t>
  </si>
  <si>
    <t>poor (turn 3)</t>
  </si>
  <si>
    <t>poor (-1 Piloting, turn 3)</t>
  </si>
  <si>
    <t xml:space="preserve">forward arc (1 heavy), aft arc (1 heavy), turret (2 light) </t>
  </si>
  <si>
    <t>Cruiser</t>
  </si>
  <si>
    <t>forward arc (1 capital), port arc (1 light), starboard arc (1 light), turret (1 heavy)</t>
  </si>
  <si>
    <t>1 capital</t>
  </si>
  <si>
    <t>capital</t>
  </si>
  <si>
    <t>Carrier</t>
  </si>
  <si>
    <t>Gargantuan</t>
  </si>
  <si>
    <t>forward arc (1 capital), port arc (3 heavy), starboard arc (3 heavy), turret (2 light)</t>
  </si>
  <si>
    <t>3 heavy</t>
  </si>
  <si>
    <t>(must have at least 1 hangar bay)</t>
  </si>
  <si>
    <t>Battleship</t>
  </si>
  <si>
    <t>forward arc (1 capital, 2 heavy), port arc (2 heavy, 1 light), starboard arc (2 heavy, 1 light), aft arc (1 light), turret (2 heavy)</t>
  </si>
  <si>
    <t>1 capital, 2 heavy</t>
  </si>
  <si>
    <t>2 heavy, 1 light</t>
  </si>
  <si>
    <t>Dreadnought</t>
  </si>
  <si>
    <t>Colossal</t>
  </si>
  <si>
    <t>clumsy (turn 4)</t>
  </si>
  <si>
    <t>clumsy (-2 Piloting, turn 4)</t>
  </si>
  <si>
    <t>forward arc (2 capital, 2 heavy), port arc (1 capital, 3 heavy), starboard arc (1 capital, 3 heavy), turret (4 light)</t>
  </si>
  <si>
    <t>2 capital, 2 heavy</t>
  </si>
  <si>
    <t>1 capital, 3 heavy</t>
  </si>
  <si>
    <t>4 light</t>
  </si>
  <si>
    <t>Weapons (forward)</t>
  </si>
  <si>
    <t>Tier</t>
  </si>
  <si>
    <t>Size Number</t>
  </si>
  <si>
    <t>Length</t>
  </si>
  <si>
    <t>Weight</t>
  </si>
  <si>
    <t>AC and TL modifier</t>
  </si>
  <si>
    <t>20-60 ft.</t>
  </si>
  <si>
    <t>3-20 tons</t>
  </si>
  <si>
    <t>60-120 ft.</t>
  </si>
  <si>
    <t>20-40 tons</t>
  </si>
  <si>
    <t>Starship Build Points</t>
  </si>
  <si>
    <t>120-300 ft.</t>
  </si>
  <si>
    <t>40-150 tons</t>
  </si>
  <si>
    <t>300-800 ft.</t>
  </si>
  <si>
    <t>150-240 tons</t>
  </si>
  <si>
    <t>¼</t>
  </si>
  <si>
    <t>800-2000 ft.</t>
  </si>
  <si>
    <t>420-1200 tons</t>
  </si>
  <si>
    <t>2000-15000 ft.</t>
  </si>
  <si>
    <t>1200-8000 tons</t>
  </si>
  <si>
    <t>over 15000 ft.</t>
  </si>
  <si>
    <t>over 8000 tons</t>
  </si>
  <si>
    <t>⅓</t>
  </si>
  <si>
    <t>½</t>
  </si>
  <si>
    <t>HP increase</t>
  </si>
  <si>
    <t>Thruster</t>
  </si>
  <si>
    <t>Speed (in hexes)</t>
  </si>
  <si>
    <t>piloting modifier</t>
  </si>
  <si>
    <t>Eligible Thrusters</t>
  </si>
  <si>
    <t>T6 thrusters</t>
  </si>
  <si>
    <t>T8 thrusters</t>
  </si>
  <si>
    <t>T10 thrusters</t>
  </si>
  <si>
    <t>T12 thrusters</t>
  </si>
  <si>
    <t>T14 thrusters</t>
  </si>
  <si>
    <t>Upgrade Slot&gt;&gt;&gt;</t>
  </si>
  <si>
    <t>S6 thrusters</t>
  </si>
  <si>
    <t>F1</t>
  </si>
  <si>
    <t>F2</t>
  </si>
  <si>
    <t>F3</t>
  </si>
  <si>
    <t>F4</t>
  </si>
  <si>
    <t>P1</t>
  </si>
  <si>
    <t>P2</t>
  </si>
  <si>
    <t>P3</t>
  </si>
  <si>
    <t>S8 thrusters</t>
  </si>
  <si>
    <t>P4</t>
  </si>
  <si>
    <t>S1</t>
  </si>
  <si>
    <t>S2</t>
  </si>
  <si>
    <t>S3</t>
  </si>
  <si>
    <t>S4</t>
  </si>
  <si>
    <t>A1</t>
  </si>
  <si>
    <t>A2</t>
  </si>
  <si>
    <t>A3</t>
  </si>
  <si>
    <t>A4</t>
  </si>
  <si>
    <t>S10 thrusters</t>
  </si>
  <si>
    <t>Weapons Chosen&gt;&gt;&gt;</t>
  </si>
  <si>
    <t>S12 thrusters</t>
  </si>
  <si>
    <t>M4 thrusters</t>
  </si>
  <si>
    <t>M6 thrusters</t>
  </si>
  <si>
    <t>M8 thrusters</t>
  </si>
  <si>
    <t>M10 thrusters</t>
  </si>
  <si>
    <t>M12 thrusters</t>
  </si>
  <si>
    <t>L4 thrusters</t>
  </si>
  <si>
    <t>L6 thrusters</t>
  </si>
  <si>
    <t>L8 thrusters</t>
  </si>
  <si>
    <t>L10 thrusters</t>
  </si>
  <si>
    <t>H4 thrusters</t>
  </si>
  <si>
    <t>Weapon Lists for each slot&gt;</t>
  </si>
  <si>
    <t>H6 thrusters</t>
  </si>
  <si>
    <t>H8 thrusters</t>
  </si>
  <si>
    <t>H10 thrusters</t>
  </si>
  <si>
    <t>G4 thrusters</t>
  </si>
  <si>
    <t>G6 thrusters</t>
  </si>
  <si>
    <t>G8 thrusters</t>
  </si>
  <si>
    <t>C4 thrusters</t>
  </si>
  <si>
    <t>C6 thrusters</t>
  </si>
  <si>
    <t>C8 thrusters</t>
  </si>
  <si>
    <t>turn</t>
  </si>
  <si>
    <t>Clumsy</t>
  </si>
  <si>
    <t>Poor</t>
  </si>
  <si>
    <t>Average</t>
  </si>
  <si>
    <t>Good</t>
  </si>
  <si>
    <t>Perfect</t>
  </si>
  <si>
    <t>Class</t>
  </si>
  <si>
    <t>Type</t>
  </si>
  <si>
    <t>Weapon</t>
  </si>
  <si>
    <t># of dice</t>
  </si>
  <si>
    <t>LinkDice</t>
  </si>
  <si>
    <t>Damage</t>
  </si>
  <si>
    <t>Special Properties</t>
  </si>
  <si>
    <t>Mounts used</t>
  </si>
  <si>
    <t>Light</t>
  </si>
  <si>
    <t>Direct</t>
  </si>
  <si>
    <t>chain cannon</t>
  </si>
  <si>
    <t>d4</t>
  </si>
  <si>
    <t>6d4</t>
  </si>
  <si>
    <t>Ripper</t>
  </si>
  <si>
    <t>coilgun</t>
  </si>
  <si>
    <t>4d4</t>
  </si>
  <si>
    <t>flak thrower</t>
  </si>
  <si>
    <t>3d4</t>
  </si>
  <si>
    <t>Point (+8)</t>
  </si>
  <si>
    <t>gyrolaser</t>
  </si>
  <si>
    <t>d8</t>
  </si>
  <si>
    <t>1d8</t>
  </si>
  <si>
    <t>Broad arc</t>
  </si>
  <si>
    <t>laser net</t>
  </si>
  <si>
    <t>d6</t>
  </si>
  <si>
    <t>2d6</t>
  </si>
  <si>
    <t>Point (+10)</t>
  </si>
  <si>
    <t>light emp cannon</t>
  </si>
  <si>
    <t>special</t>
  </si>
  <si>
    <t>EMP</t>
  </si>
  <si>
    <t>light laser cannon</t>
  </si>
  <si>
    <t>2d4</t>
  </si>
  <si>
    <t>light particle beam</t>
  </si>
  <si>
    <t>3d6</t>
  </si>
  <si>
    <t>light plasma cannon</t>
  </si>
  <si>
    <t>d12</t>
  </si>
  <si>
    <t>2d12</t>
  </si>
  <si>
    <t>Tracking</t>
  </si>
  <si>
    <t>high explosive missile launcher</t>
  </si>
  <si>
    <t>4d8</t>
  </si>
  <si>
    <t>Limited fire 5</t>
  </si>
  <si>
    <t>light plasma torpedo launcher</t>
  </si>
  <si>
    <t>3d8</t>
  </si>
  <si>
    <t>light torpedo launcher</t>
  </si>
  <si>
    <t>2d8</t>
  </si>
  <si>
    <t>micromissile battery (slot 1/2)</t>
  </si>
  <si>
    <t>Array, limited fire 5</t>
  </si>
  <si>
    <t>tactical nuclear missile launcher</t>
  </si>
  <si>
    <t>5d8</t>
  </si>
  <si>
    <t>Irradiate (low), limited fire 5</t>
  </si>
  <si>
    <t>Heavy</t>
  </si>
  <si>
    <t>graser</t>
  </si>
  <si>
    <t>d10</t>
  </si>
  <si>
    <t>7d10</t>
  </si>
  <si>
    <t>Irradiate (medium)</t>
  </si>
  <si>
    <t>gravity gun</t>
  </si>
  <si>
    <t>6d6</t>
  </si>
  <si>
    <t>Tractor beam</t>
  </si>
  <si>
    <t>heavy emp cannon</t>
  </si>
  <si>
    <t>heavy laser array (slot 1/2)</t>
  </si>
  <si>
    <t>Array</t>
  </si>
  <si>
    <t>heavy laser cannon</t>
  </si>
  <si>
    <t>heavy laser net</t>
  </si>
  <si>
    <t>5d6</t>
  </si>
  <si>
    <t>Point (+12)</t>
  </si>
  <si>
    <t>maser</t>
  </si>
  <si>
    <t>6d10</t>
  </si>
  <si>
    <t>particle beam</t>
  </si>
  <si>
    <t>8d6</t>
  </si>
  <si>
    <t>persistent particle beam</t>
  </si>
  <si>
    <t>10d6</t>
  </si>
  <si>
    <t>plasma cannon</t>
  </si>
  <si>
    <t>5d12</t>
  </si>
  <si>
    <t>railgun</t>
  </si>
  <si>
    <t>8d4</t>
  </si>
  <si>
    <t>twin laser</t>
  </si>
  <si>
    <t>x-laser cannon</t>
  </si>
  <si>
    <t>Line</t>
  </si>
  <si>
    <t>heavy antimatter missile launcher</t>
  </si>
  <si>
    <t>10d10</t>
  </si>
  <si>
    <t>heavy nuclear missile launcher</t>
  </si>
  <si>
    <t>10d8</t>
  </si>
  <si>
    <t>Irradiate (medium), limited fire 5</t>
  </si>
  <si>
    <t>heavy plasma torpedo launcher</t>
  </si>
  <si>
    <t>5d10</t>
  </si>
  <si>
    <t>heavy torpedo launcher</t>
  </si>
  <si>
    <t>Capital</t>
  </si>
  <si>
    <t>gravity cannon</t>
  </si>
  <si>
    <t>d6 x 10</t>
  </si>
  <si>
    <t>2d6 x 10</t>
  </si>
  <si>
    <t>mass driver</t>
  </si>
  <si>
    <t>particle beam cannon</t>
  </si>
  <si>
    <t>d4 x 10</t>
  </si>
  <si>
    <t>3d4 x 10</t>
  </si>
  <si>
    <t>persistent particle beam cannon</t>
  </si>
  <si>
    <t>d10 x 10</t>
  </si>
  <si>
    <t>2d10 x 10</t>
  </si>
  <si>
    <t>super emp cannon</t>
  </si>
  <si>
    <t>super plasma cannon</t>
  </si>
  <si>
    <t>3d6 x 10</t>
  </si>
  <si>
    <t>super x-laser cannon</t>
  </si>
  <si>
    <t>supergraser</t>
  </si>
  <si>
    <t>d8 x 10</t>
  </si>
  <si>
    <t>2d8 x 10</t>
  </si>
  <si>
    <t>Irradiate (high)</t>
  </si>
  <si>
    <t>superlaser</t>
  </si>
  <si>
    <t>2d4 x 10</t>
  </si>
  <si>
    <t>supermaser</t>
  </si>
  <si>
    <t>vortex cannon</t>
  </si>
  <si>
    <t>d12 x 10</t>
  </si>
  <si>
    <t>2d12 x 10</t>
  </si>
  <si>
    <t>Vortex</t>
  </si>
  <si>
    <t>antimatter mega-missile launcher</t>
  </si>
  <si>
    <t>4d10 x 10</t>
  </si>
  <si>
    <t>hellfire torpedo launcher</t>
  </si>
  <si>
    <t>nuclear mega-missile launcher</t>
  </si>
  <si>
    <t>4d8 x 10</t>
  </si>
  <si>
    <t>quantum missile launcher</t>
  </si>
  <si>
    <t>Limited fire 5, quantum</t>
  </si>
  <si>
    <t>solar torpedo launcher</t>
  </si>
  <si>
    <t>heavy laser array</t>
  </si>
  <si>
    <t>micromissile battery</t>
  </si>
  <si>
    <t>MAKE</t>
  </si>
  <si>
    <t>MODEL</t>
  </si>
  <si>
    <t>RACE</t>
  </si>
  <si>
    <t>Atech</t>
  </si>
  <si>
    <t>Immortal</t>
  </si>
  <si>
    <t>cruiser</t>
  </si>
  <si>
    <t>Pact Worlds</t>
  </si>
  <si>
    <t>Blackwind</t>
  </si>
  <si>
    <t>Sepulcher</t>
  </si>
  <si>
    <t>transport</t>
  </si>
  <si>
    <t>Eoxian</t>
  </si>
  <si>
    <t>BMC</t>
  </si>
  <si>
    <t>Mauler</t>
  </si>
  <si>
    <t>fighter</t>
  </si>
  <si>
    <t>Veskarium</t>
  </si>
  <si>
    <t>Death's Head</t>
  </si>
  <si>
    <t>Necroglider</t>
  </si>
  <si>
    <t>interceptor</t>
  </si>
  <si>
    <t>Hivonyx</t>
  </si>
  <si>
    <t>Titan Hauler</t>
  </si>
  <si>
    <t>bulk freighter</t>
  </si>
  <si>
    <t>shirren</t>
  </si>
  <si>
    <t>Idaran</t>
  </si>
  <si>
    <t>Voidrunner</t>
  </si>
  <si>
    <t>racer</t>
  </si>
  <si>
    <t>Kasathan</t>
  </si>
  <si>
    <t>Vasarai</t>
  </si>
  <si>
    <t>heavy freighter</t>
  </si>
  <si>
    <t>Millennia</t>
  </si>
  <si>
    <t>carrier</t>
  </si>
  <si>
    <t>Kelvolari</t>
  </si>
  <si>
    <t>Venture</t>
  </si>
  <si>
    <t>Norikama</t>
  </si>
  <si>
    <t>Dropship</t>
  </si>
  <si>
    <t>Ringworks</t>
  </si>
  <si>
    <t>Wanderer</t>
  </si>
  <si>
    <t>shuttle</t>
  </si>
  <si>
    <t>Starwasp</t>
  </si>
  <si>
    <t>Sanjaval</t>
  </si>
  <si>
    <t>Vagabond</t>
  </si>
  <si>
    <t>explorer</t>
  </si>
  <si>
    <t>Starhive</t>
  </si>
  <si>
    <t>Drone Mk I</t>
  </si>
  <si>
    <t>light freighter</t>
  </si>
  <si>
    <t>Drone Mk II</t>
  </si>
  <si>
    <t>Drone Mk III</t>
  </si>
  <si>
    <t>Thaumtech</t>
  </si>
  <si>
    <t>Omenbringer</t>
  </si>
  <si>
    <t>battleship</t>
  </si>
  <si>
    <t>UIE</t>
  </si>
  <si>
    <t>Hiveguard</t>
  </si>
  <si>
    <t>destroyer</t>
  </si>
  <si>
    <t>Vindicas</t>
  </si>
  <si>
    <t>Tyrant</t>
  </si>
  <si>
    <t>dreadnought</t>
  </si>
  <si>
    <t>VERSION</t>
  </si>
  <si>
    <t>DATE</t>
  </si>
  <si>
    <t>Added an instructions/credits page.
Added a link to make a copy of the sheet.
Added a link to fund my caffeine habit.</t>
  </si>
  <si>
    <t>v1.41</t>
  </si>
  <si>
    <t>CHANGED MOUNT CALCULATION to count the cost BEFORE you buy the weapons.
Updated the reset script to include the PILOT RANKS box on the Ship Sheet.
Edited the turn calculation since it did not account for maneuverability lower than clumsy. Anything with turn&gt;4 is still called clumsy now. I guess?
Fixed the ICM dropdown (for real this time) to include mk9 and mk10 computrons.
Disallowed choosing crew quarters for tiny size ships. No more tiny quarters for your gnomes, pixies, and fairies.
Added a notation to more clearly show which weapons are linked.
Fixed some issues with having 4 of the same weapon on a single arc. I believe these were introduced when I added the ability to link arrays. That whole thing about fixing one problem causing another thing to break...</t>
  </si>
  <si>
    <t>v1.4</t>
  </si>
  <si>
    <t>BIG UPDATE! Lot's of bugs.
"The sheet won't let you link array weapons" - This one was a doozy. Every time I fixed one thing, it broke another. Woof.
"The bonus to piloting checks from "maneuverability" and "thruster speed" are being added to the ships AC and TL in the "pilot bonus" spot." - rules error on my part. I know I read the thing that says the pilot only adds ranks in piloting to AC, but I forgot I guess. THERE'S A LOT OF RULES GUYS! I get confused. Fixed it and added a blue spot to enter in ranks of piloting.
"The "Misc Mods" box isn't being added into the AC/TL calculation." - forgot to add it. Fixed.
"Any modifiers to "turn", like from the heavier armor, isn't being adjusted." - changed the tables and separated out turn mod from armor and frame. Added a check to see total turn mod and give a name to maneuverability based on the final number.
"The ""critical threshold"" isn't being modified when the ship's HP changes do to higher tiers" - Build sheet still reflects base hp and ct, but the ship sheet and stablock reflect higher tiers.
"If you link two weapons that have a "x10" damage it won't show up once they're linked" - when I added linked weapons, I separated out the numbers of dice from the type so I could easily double the number and then link the two fields. I forgot to copy over the x10 for capital weapons.
I labeled all named ranges so I don't get confused about numbers appearing on the bottom of tables. "What's this for? Dunno, let's see what deleting it does. Oops. Broke the sheet."</t>
  </si>
  <si>
    <t>v1.33</t>
  </si>
  <si>
    <t>added non-choices for those of us who are wishy-washy and can't stick with our decisions (-); fixed error where mounting an array in the last available slot allowed you to use the next mount as well (even if you don't have it or your ship can't support it)</t>
  </si>
  <si>
    <t>v1.32</t>
  </si>
  <si>
    <t>changed some formating on version history page; separated out to do to a separate tab; v in version is now lower case; removed the space between the v and the version number (spaces are hard); (real changes follow) added in tier 9 and 10 computer (CURSE YOU page breaks in the middle of tables!)</t>
  </si>
  <si>
    <t>V 1.31</t>
  </si>
  <si>
    <t>added a note to secondary core EXPLICITLY stating that a power core housing must be bought first; fixed an error where chain cannon was not showing up properly for light mount dropdowns</t>
  </si>
  <si>
    <t>V 1.3</t>
  </si>
  <si>
    <t>8/20/2017 AM</t>
  </si>
  <si>
    <t>arrays now take up two slots - must select (slot 2/2 on the second slot); added "damaged systems" to ship sheet; linking weapons now updates damage and consolidates weapons on the statblock and ship sheet; empty expansion bays are automatically converted to cargo bays on the statblock and ship sheet</t>
  </si>
  <si>
    <t>V 1.2</t>
  </si>
  <si>
    <t>8/20/2017 PM</t>
  </si>
  <si>
    <t>finished stat block sheet; reworked ship sheet that looks like the one in the book</t>
  </si>
  <si>
    <t>V 1.1</t>
  </si>
  <si>
    <t>8/19/2017 PM</t>
  </si>
  <si>
    <t>fixed expansion bays that took up multiple slots; started statblock sheet</t>
  </si>
  <si>
    <t>V 1.0</t>
  </si>
  <si>
    <t>8/19/2017 AM</t>
  </si>
  <si>
    <t>graduated to 1.0; prettified build sheet; added mount specific upgrades; adding linking weapons; added data valadation and individual dropdown lookups to limit selections to valid choice; published to net for sharing</t>
  </si>
  <si>
    <t>V 0.9</t>
  </si>
  <si>
    <t>reformated table sheet into separate themed sheets for ease of reading and updating; cleaned up and beautified lookup tables</t>
  </si>
  <si>
    <t>V 0.7</t>
  </si>
  <si>
    <t>removed scratch sheet; doing calculations on each table or on build/character sheet; output sheet complete</t>
  </si>
  <si>
    <t>V 0.3</t>
  </si>
  <si>
    <t>initial table input created; basic build sheet created</t>
  </si>
  <si>
    <t>V 0.1</t>
  </si>
  <si>
    <t>created sheet; initial outline and steps</t>
  </si>
  <si>
    <t>TO DO</t>
  </si>
  <si>
    <t>Add functionality to turn certain systems on and off on the Ship Sheet to save on PCU. Some of us like to live dangerously.</t>
  </si>
  <si>
    <t>DAMAGE LIST</t>
  </si>
  <si>
    <t>FUNCTIONAL</t>
  </si>
  <si>
    <t>Look into viewability on tablets and phones.</t>
  </si>
  <si>
    <t>GLITCHING</t>
  </si>
  <si>
    <t>MALFUNCTIONING</t>
  </si>
  <si>
    <t>WRECKED</t>
  </si>
  <si>
    <t>upgrade costs</t>
  </si>
  <si>
    <t>Add Light Mount</t>
  </si>
  <si>
    <t>Add Light Turret</t>
  </si>
  <si>
    <t>upgradeSlots</t>
  </si>
  <si>
    <t>transposed upgrade choice&gt;&gt;&gt;</t>
  </si>
  <si>
    <t>upgrade slot to capital&gt;&gt;&gt;</t>
  </si>
  <si>
    <t>cargo hold</t>
  </si>
  <si>
    <t>escape pods</t>
  </si>
  <si>
    <t>guest quarters</t>
  </si>
  <si>
    <t>life boats</t>
  </si>
  <si>
    <t>medical bay</t>
  </si>
  <si>
    <t>passenger seating</t>
  </si>
  <si>
    <t>recreation suite (gym)</t>
  </si>
  <si>
    <t>recreation suite (trivid den)</t>
  </si>
  <si>
    <t>recreation suite (hac)</t>
  </si>
  <si>
    <t>science lab</t>
  </si>
  <si>
    <t>sealed environment chamber</t>
  </si>
  <si>
    <t>smuggler compartment (dc 20)</t>
  </si>
  <si>
    <t>smuggler compartment (dc 25)</t>
  </si>
  <si>
    <t>smuggler compartment (dc 30)</t>
  </si>
  <si>
    <t>smuggler compartment (dc 35)</t>
  </si>
  <si>
    <t>smuggler compartment (dc 40)</t>
  </si>
  <si>
    <t>smuggler compartment (dc 45)</t>
  </si>
  <si>
    <t>smuggler compartment (dc 50)</t>
  </si>
  <si>
    <t>synthesis bay</t>
  </si>
  <si>
    <t>tech workshop</t>
  </si>
  <si>
    <t>hangar bay</t>
  </si>
  <si>
    <t>shuttle bay</t>
  </si>
  <si>
    <t>upgrade slot to heavy&gt;&gt;&gt;</t>
  </si>
  <si>
    <t>add light mount&gt;&gt;&gt;</t>
  </si>
  <si>
    <t>cost for capital upgrade&gt;&gt;&gt;</t>
  </si>
  <si>
    <t>cost for heavy upgrade&gt;&gt;&gt;</t>
  </si>
  <si>
    <t>cost to add light mount&gt;&gt;&gt;</t>
  </si>
  <si>
    <t>upgradeMountCost</t>
  </si>
  <si>
    <t>Damage import&gt;&gt;&gt;</t>
  </si>
  <si>
    <t>looking for arrays and consolidating</t>
  </si>
  <si>
    <t>Weapons with Damage for STATBLOCK&gt;&gt;&gt;</t>
  </si>
  <si>
    <t>sensors</t>
  </si>
  <si>
    <t>quarters</t>
  </si>
  <si>
    <t>armor</t>
  </si>
  <si>
    <t>defensive</t>
  </si>
  <si>
    <t>icm</t>
  </si>
  <si>
    <t>security</t>
  </si>
  <si>
    <t>compy counters</t>
  </si>
  <si>
    <t>ICM</t>
  </si>
  <si>
    <t>SensorMod</t>
  </si>
  <si>
    <t>pilot bonus</t>
  </si>
  <si>
    <t>Countermeasures</t>
  </si>
  <si>
    <t>List of other Systems&gt;&gt;&gt;</t>
  </si>
  <si>
    <t>&gt;&gt;&gt;</t>
  </si>
  <si>
    <t>total</t>
  </si>
  <si>
    <t>armor bonus/countermeasures</t>
  </si>
  <si>
    <t>size mod</t>
  </si>
  <si>
    <t>misc mod</t>
  </si>
  <si>
    <t>ACtotal&gt;&gt;&gt;</t>
  </si>
  <si>
    <t>TLtotal&gt;&gt;&gt;</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</si>
</sst>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yyyy"/>
  </numFmts>
  <fonts count="47">
    <font>
      <sz val="10.0"/>
      <color rgb="FF000000"/>
      <name val="Arial"/>
    </font>
    <font>
      <b/>
      <sz val="18.0"/>
      <color rgb="FFFFFFFF"/>
      <name val="Jura"/>
    </font>
    <font>
      <sz val="11.0"/>
      <name val="Jura"/>
    </font>
    <font>
      <sz val="18.0"/>
      <name val="Jura"/>
    </font>
    <font>
      <name val="Jura"/>
    </font>
    <font>
      <sz val="12.0"/>
      <color rgb="FFFFFFFF"/>
      <name val="Jura"/>
    </font>
    <font>
      <b/>
      <sz val="10.0"/>
      <color rgb="FFFFFFFF"/>
      <name val="Jura"/>
    </font>
    <font>
      <b/>
      <u/>
      <sz val="14.0"/>
      <color rgb="FF0000FF"/>
      <name val="Jura"/>
    </font>
    <font>
      <b/>
      <name val="Jura"/>
    </font>
    <font>
      <b/>
      <i/>
      <sz val="10.0"/>
      <color rgb="FFFFFFFF"/>
      <name val="Jura"/>
    </font>
    <font>
      <b/>
      <i/>
      <sz val="14.0"/>
      <color rgb="FFFFFFFF"/>
      <name val="Jura"/>
    </font>
    <font>
      <b/>
      <sz val="14.0"/>
      <name val="Jura"/>
    </font>
    <font>
      <b/>
      <sz val="12.0"/>
      <color rgb="FFFFFFFF"/>
      <name val="Jura"/>
    </font>
    <font>
      <b/>
      <color rgb="FF000000"/>
      <name val="Jura"/>
    </font>
    <font>
      <b/>
      <i/>
      <sz val="12.0"/>
      <color rgb="FFFFFFFF"/>
      <name val="Jura"/>
    </font>
    <font>
      <sz val="10.0"/>
      <color rgb="FFFFFFFF"/>
      <name val="Jura"/>
    </font>
    <font>
      <b/>
      <i/>
      <sz val="6.0"/>
      <color rgb="FFFFFFFF"/>
      <name val="Jura"/>
    </font>
    <font>
      <i/>
      <sz val="10.0"/>
      <name val="Jura"/>
    </font>
    <font>
      <u/>
      <sz val="11.0"/>
      <color rgb="FF0000FF"/>
      <name val="Jura"/>
    </font>
    <font>
      <b/>
      <sz val="14.0"/>
      <color rgb="FFFFFFFF"/>
      <name val="Jura"/>
    </font>
    <font/>
    <font>
      <sz val="24.0"/>
      <name val="Jura"/>
    </font>
    <font>
      <sz val="12.0"/>
      <name val="Jura"/>
    </font>
    <font>
      <b/>
      <sz val="12.0"/>
      <name val="Jura"/>
    </font>
    <font>
      <b/>
      <sz val="10.0"/>
      <name val="Jura"/>
    </font>
    <font>
      <b/>
      <sz val="8.0"/>
      <name val="Jura"/>
    </font>
    <font>
      <i/>
      <color rgb="FFFFFFFF"/>
      <name val="Jura"/>
    </font>
    <font>
      <sz val="8.0"/>
      <name val="Jura"/>
    </font>
    <font>
      <sz val="10.0"/>
      <name val="Jura"/>
    </font>
    <font>
      <b/>
      <sz val="12.0"/>
      <color rgb="FFFF0000"/>
      <name val="Jura"/>
    </font>
    <font>
      <sz val="12.0"/>
      <color rgb="FFFF0000"/>
      <name val="Jura"/>
    </font>
    <font>
      <sz val="14.0"/>
      <color rgb="FF00FFFF"/>
      <name val="Jura"/>
    </font>
    <font>
      <color rgb="FFFFFFFF"/>
      <name val="Jura"/>
    </font>
    <font>
      <b/>
      <sz val="10.0"/>
      <color rgb="FF000000"/>
      <name val="Jura"/>
    </font>
    <font>
      <color rgb="FF00FFFF"/>
      <name val="Jura"/>
    </font>
    <font>
      <b/>
      <i/>
      <sz val="10.0"/>
      <color rgb="FF1C4587"/>
      <name val="Jura"/>
    </font>
    <font>
      <b/>
      <i/>
      <sz val="10.0"/>
      <name val="Jura"/>
    </font>
    <font>
      <sz val="10.0"/>
      <color rgb="FF1C4587"/>
      <name val="Jura"/>
    </font>
    <font>
      <i/>
      <sz val="6.0"/>
      <name val="Jura"/>
    </font>
    <font>
      <sz val="6.0"/>
      <name val="Jura"/>
    </font>
    <font>
      <color rgb="FF000000"/>
      <name val="Jura"/>
    </font>
    <font>
      <b/>
      <color rgb="FFFFFFFF"/>
      <name val="Jura"/>
    </font>
    <font>
      <b/>
      <sz val="14.0"/>
      <name val="Comfortaa"/>
    </font>
    <font>
      <sz val="10.0"/>
      <color rgb="FF000000"/>
      <name val="Jura"/>
    </font>
    <font>
      <strike/>
      <sz val="10.0"/>
      <color rgb="FF000000"/>
      <name val="Jura"/>
    </font>
    <font>
      <strike/>
      <name val="Jura"/>
    </font>
    <font>
      <sz val="11.0"/>
      <color rgb="FF000000"/>
      <name val="Jura"/>
    </font>
  </fonts>
  <fills count="27">
    <fill>
      <patternFill patternType="none"/>
    </fill>
    <fill>
      <patternFill patternType="lightGray"/>
    </fill>
    <fill>
      <patternFill patternType="solid">
        <fgColor rgb="FF1C4587"/>
        <bgColor rgb="FF1C4587"/>
      </patternFill>
    </fill>
    <fill>
      <patternFill patternType="solid">
        <fgColor rgb="FF000000"/>
        <bgColor rgb="FF000000"/>
      </patternFill>
    </fill>
    <fill>
      <patternFill patternType="solid">
        <fgColor rgb="FF20124D"/>
        <bgColor rgb="FF20124D"/>
      </patternFill>
    </fill>
    <fill>
      <patternFill patternType="solid">
        <fgColor rgb="FF073763"/>
        <bgColor rgb="FF073763"/>
      </patternFill>
    </fill>
    <fill>
      <patternFill patternType="solid">
        <fgColor rgb="FFFFFFFF"/>
        <bgColor rgb="FFFFFFFF"/>
      </patternFill>
    </fill>
    <fill>
      <patternFill patternType="solid">
        <fgColor rgb="FF4A86E8"/>
        <bgColor rgb="FF4A86E8"/>
      </patternFill>
    </fill>
    <fill>
      <patternFill patternType="solid">
        <fgColor rgb="FFC9DAF8"/>
        <bgColor rgb="FFC9DAF8"/>
      </patternFill>
    </fill>
    <fill>
      <patternFill patternType="solid">
        <fgColor rgb="FF0B5394"/>
        <bgColor rgb="FF0B5394"/>
      </patternFill>
    </fill>
    <fill>
      <patternFill patternType="solid">
        <fgColor rgb="FFCFE2F3"/>
        <bgColor rgb="FFCFE2F3"/>
      </patternFill>
    </fill>
    <fill>
      <patternFill patternType="solid">
        <fgColor rgb="FFFFFF00"/>
        <bgColor rgb="FFFFFF00"/>
      </patternFill>
    </fill>
    <fill>
      <patternFill patternType="solid">
        <fgColor rgb="FFD9D2E9"/>
        <bgColor rgb="FFD9D2E9"/>
      </patternFill>
    </fill>
    <fill>
      <patternFill patternType="solid">
        <fgColor rgb="FFB4A7D6"/>
        <bgColor rgb="FFB4A7D6"/>
      </patternFill>
    </fill>
    <fill>
      <patternFill patternType="solid">
        <fgColor rgb="FF8E7CC3"/>
        <bgColor rgb="FF8E7CC3"/>
      </patternFill>
    </fill>
    <fill>
      <patternFill patternType="solid">
        <fgColor rgb="FF674EA7"/>
        <bgColor rgb="FF674EA7"/>
      </patternFill>
    </fill>
    <fill>
      <patternFill patternType="solid">
        <fgColor rgb="FFD9EAD3"/>
        <bgColor rgb="FFD9EAD3"/>
      </patternFill>
    </fill>
    <fill>
      <patternFill patternType="solid">
        <fgColor rgb="FFE6B8AF"/>
        <bgColor rgb="FFE6B8AF"/>
      </patternFill>
    </fill>
    <fill>
      <patternFill patternType="solid">
        <fgColor rgb="FFF4CCCC"/>
        <bgColor rgb="FFF4CCCC"/>
      </patternFill>
    </fill>
    <fill>
      <patternFill patternType="solid">
        <fgColor rgb="FFFCE5CD"/>
        <bgColor rgb="FFFCE5CD"/>
      </patternFill>
    </fill>
    <fill>
      <patternFill patternType="solid">
        <fgColor rgb="FFFFF2CC"/>
        <bgColor rgb="FFFFF2CC"/>
      </patternFill>
    </fill>
    <fill>
      <patternFill patternType="solid">
        <fgColor rgb="FFD0E0E3"/>
        <bgColor rgb="FFD0E0E3"/>
      </patternFill>
    </fill>
    <fill>
      <patternFill patternType="solid">
        <fgColor rgb="FFEAD1DC"/>
        <bgColor rgb="FFEAD1DC"/>
      </patternFill>
    </fill>
    <fill>
      <patternFill patternType="solid">
        <fgColor rgb="FF00FFFF"/>
        <bgColor rgb="FF00FFFF"/>
      </patternFill>
    </fill>
    <fill>
      <patternFill patternType="solid">
        <fgColor rgb="FFB7B7B7"/>
        <bgColor rgb="FFB7B7B7"/>
      </patternFill>
    </fill>
    <fill>
      <patternFill patternType="solid">
        <fgColor rgb="FFFF9900"/>
        <bgColor rgb="FFFF9900"/>
      </patternFill>
    </fill>
    <fill>
      <patternFill patternType="solid">
        <fgColor rgb="FF00FF00"/>
        <bgColor rgb="FF00FF00"/>
      </patternFill>
    </fill>
  </fills>
  <borders count="83">
    <border>
      <left/>
      <right/>
      <top/>
      <bottom/>
    </border>
    <border>
      <left style="medium">
        <color rgb="FF4A86E8"/>
      </left>
      <right style="medium">
        <color rgb="FF4A86E8"/>
      </right>
      <top/>
      <bottom style="medium">
        <color rgb="FF4A86E8"/>
      </bottom>
    </border>
    <border>
      <left style="medium">
        <color rgb="FF4A86E8"/>
      </left>
      <right style="medium">
        <color rgb="FF4A86E8"/>
      </right>
      <top style="medium">
        <color rgb="FF4A86E8"/>
      </top>
      <bottom style="medium">
        <color rgb="FF4A86E8"/>
      </bottom>
    </border>
    <border>
      <left style="thin">
        <color rgb="FFFFFFFF"/>
      </left>
      <right style="thin">
        <color rgb="FFFFFFFF"/>
      </right>
      <top style="thin">
        <color rgb="FFFFFFFF"/>
      </top>
      <bottom style="thin">
        <color rgb="FFFFFFFF"/>
      </bottom>
    </border>
    <border>
      <left style="medium">
        <color rgb="FF4A86E8"/>
      </left>
      <right/>
      <top style="medium">
        <color rgb="FF4A86E8"/>
      </top>
      <bottom style="medium">
        <color rgb="FF4A86E8"/>
      </bottom>
    </border>
    <border>
      <left/>
      <right/>
      <top style="medium">
        <color rgb="FF4A86E8"/>
      </top>
      <bottom style="medium">
        <color rgb="FF4A86E8"/>
      </bottom>
    </border>
    <border>
      <left/>
      <right style="medium">
        <color rgb="FF4A86E8"/>
      </right>
      <top style="medium">
        <color rgb="FF4A86E8"/>
      </top>
      <bottom style="medium">
        <color rgb="FF4A86E8"/>
      </bottom>
    </border>
    <border>
      <left/>
      <right style="thin">
        <color rgb="FFFFFFFF"/>
      </right>
      <top style="thin">
        <color rgb="FFFFFFFF"/>
      </top>
      <bottom/>
    </border>
    <border>
      <left style="thin">
        <color rgb="FFFFFFFF"/>
      </left>
      <right style="thin">
        <color rgb="FFFFFFFF"/>
      </right>
      <top style="thin">
        <color rgb="FFFFFFFF"/>
      </top>
      <bottom/>
    </border>
    <border>
      <left style="thin">
        <color rgb="FFFFFFFF"/>
      </left>
      <right/>
      <top style="thin">
        <color rgb="FFFFFFFF"/>
      </top>
      <bottom/>
    </border>
    <border>
      <left/>
      <right/>
      <top style="thin">
        <color rgb="FFFFFFFF"/>
      </top>
      <bottom/>
    </border>
    <border>
      <left style="thin">
        <color rgb="FFFFFFFF"/>
      </left>
      <right style="thin">
        <color rgb="FFFFFFFF"/>
      </right>
      <top/>
      <bottom style="thin">
        <color rgb="FFFFFFFF"/>
      </bottom>
    </border>
    <border>
      <left style="medium">
        <color rgb="FF000000"/>
      </left>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thin">
        <color rgb="FFFFFFFF"/>
      </left>
      <right/>
      <top/>
      <bottom style="thin">
        <color rgb="FFFFFFFF"/>
      </bottom>
    </border>
    <border>
      <left/>
      <right/>
      <top/>
      <bottom style="thin">
        <color rgb="FFFFFFFF"/>
      </bottom>
    </border>
    <border>
      <left/>
      <right style="thin">
        <color rgb="FFFFFFFF"/>
      </right>
      <top/>
      <bottom style="thin">
        <color rgb="FFFFFFFF"/>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medium">
        <color rgb="FF000000"/>
      </left>
      <right/>
      <top/>
      <bottom style="medium">
        <color rgb="FF000000"/>
      </bottom>
    </border>
    <border>
      <left/>
      <right/>
      <top/>
      <bottom style="medium">
        <color rgb="FF000000"/>
      </bottom>
    </border>
    <border>
      <left/>
      <right style="medium">
        <color rgb="FF000000"/>
      </right>
      <top/>
      <bottom style="medium">
        <color rgb="FF000000"/>
      </bottom>
    </border>
    <border>
      <left/>
      <right/>
      <top/>
      <bottom style="thin">
        <color rgb="FF000000"/>
      </bottom>
    </border>
    <border>
      <left/>
      <right/>
      <top style="thin">
        <color rgb="FF000000"/>
      </top>
      <bottom style="thin">
        <color rgb="FF000000"/>
      </bottom>
    </border>
    <border>
      <left style="thin">
        <color rgb="FFFFFFFF"/>
      </left>
      <right style="thin">
        <color rgb="FFFFFFFF"/>
      </right>
      <top/>
      <bottom/>
    </border>
    <border>
      <left style="thin">
        <color rgb="FFFFFFFF"/>
      </left>
      <right/>
      <top style="thin">
        <color rgb="FFFFFFFF"/>
      </top>
      <bottom style="thin">
        <color rgb="FFFFFFFF"/>
      </bottom>
    </border>
    <border>
      <left/>
      <right style="thin">
        <color rgb="FFFFFFFF"/>
      </right>
      <top style="thin">
        <color rgb="FFFFFFFF"/>
      </top>
      <bottom style="thin">
        <color rgb="FFFFFFFF"/>
      </bottom>
    </border>
    <border>
      <left style="medium">
        <color rgb="FF4A86E8"/>
      </left>
      <right/>
      <top style="medium">
        <color rgb="FF4A86E8"/>
      </top>
      <bottom/>
    </border>
    <border>
      <left/>
      <right/>
      <top style="medium">
        <color rgb="FF4A86E8"/>
      </top>
      <bottom/>
    </border>
    <border>
      <left style="thin">
        <color rgb="FFFFFFFF"/>
      </left>
      <right/>
      <top/>
      <bottom style="thin">
        <color rgb="FF000000"/>
      </bottom>
    </border>
    <border>
      <left/>
      <right style="thin">
        <color rgb="FFFFFFFF"/>
      </right>
      <top/>
      <bottom style="thin">
        <color rgb="FF000000"/>
      </bottom>
    </border>
    <border>
      <left style="thin">
        <color rgb="FFFFFFFF"/>
      </left>
      <right/>
      <top style="thin">
        <color rgb="FF000000"/>
      </top>
      <bottom style="thin">
        <color rgb="FF000000"/>
      </bottom>
    </border>
    <border>
      <left/>
      <right style="thin">
        <color rgb="FFFFFFFF"/>
      </right>
      <top style="thin">
        <color rgb="FF000000"/>
      </top>
      <bottom style="thin">
        <color rgb="FF000000"/>
      </bottom>
    </border>
    <border>
      <left style="medium">
        <color rgb="FF000000"/>
      </left>
      <right/>
      <top/>
      <bottom/>
    </border>
    <border>
      <left/>
      <right style="medium">
        <color rgb="FF000000"/>
      </right>
      <top/>
      <bottom/>
    </border>
    <border>
      <left/>
      <right style="medium">
        <color rgb="FF4A86E8"/>
      </right>
      <top style="medium">
        <color rgb="FF4A86E8"/>
      </top>
      <bottom/>
    </border>
    <border>
      <left style="thin">
        <color rgb="FFFFFFFF"/>
      </left>
      <right/>
      <top/>
      <bottom/>
    </border>
    <border>
      <left style="medium">
        <color rgb="FFFFFFFF"/>
      </left>
      <right style="medium">
        <color rgb="FFFFFFFF"/>
      </right>
      <top style="medium">
        <color rgb="FFFFFFFF"/>
      </top>
      <bottom style="medium">
        <color rgb="FFFFFFFF"/>
      </bottom>
    </border>
    <border>
      <left style="medium">
        <color rgb="FF000000"/>
      </left>
      <right/>
      <top style="medium">
        <color rgb="FF000000"/>
      </top>
      <bottom style="thin">
        <color rgb="FFFFFFFF"/>
      </bottom>
    </border>
    <border>
      <left/>
      <right/>
      <top style="medium">
        <color rgb="FF000000"/>
      </top>
      <bottom style="thin">
        <color rgb="FFFFFFFF"/>
      </bottom>
    </border>
    <border>
      <left/>
      <right style="thin">
        <color rgb="FFFFFFFF"/>
      </right>
      <top style="medium">
        <color rgb="FF000000"/>
      </top>
      <bottom style="thin">
        <color rgb="FFFFFFFF"/>
      </bottom>
    </border>
    <border>
      <left style="thin">
        <color rgb="FFFFFFFF"/>
      </left>
      <right style="medium">
        <color rgb="FF000000"/>
      </right>
      <top style="medium">
        <color rgb="FF000000"/>
      </top>
      <bottom style="thin">
        <color rgb="FFFFFFFF"/>
      </bottom>
    </border>
    <border>
      <left/>
      <right style="medium">
        <color rgb="FFFFFFFF"/>
      </right>
      <top style="medium">
        <color rgb="FFFFFFFF"/>
      </top>
      <bottom/>
    </border>
    <border>
      <left style="medium">
        <color rgb="FFFFFFFF"/>
      </left>
      <right style="medium">
        <color rgb="FFFFFFFF"/>
      </right>
      <top style="medium">
        <color rgb="FFFFFFFF"/>
      </top>
      <bottom/>
    </border>
    <border>
      <left/>
      <right style="thin">
        <color rgb="FFFFFFFF"/>
      </right>
      <top/>
      <bottom/>
    </border>
    <border>
      <left style="thin">
        <color rgb="FFFFFFFF"/>
      </left>
      <right/>
      <top/>
      <bottom style="medium">
        <color rgb="FF000000"/>
      </bottom>
    </border>
    <border>
      <left/>
      <right style="thin">
        <color rgb="FFFFFFFF"/>
      </right>
      <top/>
      <bottom style="medium">
        <color rgb="FF000000"/>
      </bottom>
    </border>
    <border>
      <left style="thin">
        <color rgb="FFFFFFFF"/>
      </left>
      <right style="medium">
        <color rgb="FF000000"/>
      </right>
      <top/>
      <bottom style="medium">
        <color rgb="FF000000"/>
      </bottom>
    </border>
    <border>
      <left style="medium">
        <color rgb="FFFFFFFF"/>
      </left>
      <right/>
      <top style="medium">
        <color rgb="FFFFFFFF"/>
      </top>
      <bottom style="medium">
        <color rgb="FFFFFFFF"/>
      </bottom>
    </border>
    <border>
      <left/>
      <right/>
      <top style="medium">
        <color rgb="FFFFFFFF"/>
      </top>
      <bottom style="medium">
        <color rgb="FFFFFFFF"/>
      </bottom>
    </border>
    <border>
      <left/>
      <right style="medium">
        <color rgb="FFFFFFFF"/>
      </right>
      <top style="medium">
        <color rgb="FFFFFFFF"/>
      </top>
      <bottom style="medium">
        <color rgb="FFFFFFFF"/>
      </bottom>
    </border>
    <border>
      <left style="medium">
        <color rgb="FF000000"/>
      </left>
      <right/>
      <top style="medium">
        <color rgb="FF000000"/>
      </top>
      <bottom style="medium">
        <color rgb="FFFFFFFF"/>
      </bottom>
    </border>
    <border>
      <left/>
      <right/>
      <top style="medium">
        <color rgb="FF000000"/>
      </top>
      <bottom style="medium">
        <color rgb="FFFFFFFF"/>
      </bottom>
    </border>
    <border>
      <left/>
      <right style="medium">
        <color rgb="FFFFFFFF"/>
      </right>
      <top style="medium">
        <color rgb="FF000000"/>
      </top>
      <bottom style="medium">
        <color rgb="FFFFFFFF"/>
      </bottom>
    </border>
    <border>
      <left style="medium">
        <color rgb="FFFFFFFF"/>
      </left>
      <right style="medium">
        <color rgb="FFFFFFFF"/>
      </right>
      <top style="medium">
        <color rgb="FF000000"/>
      </top>
      <bottom style="medium">
        <color rgb="FFFFFFFF"/>
      </bottom>
    </border>
    <border>
      <left style="medium">
        <color rgb="FFFFFFFF"/>
      </left>
      <right/>
      <top style="medium">
        <color rgb="FFFFFFFF"/>
      </top>
      <bottom/>
    </border>
    <border>
      <left/>
      <right/>
      <top style="medium">
        <color rgb="FFFFFFFF"/>
      </top>
      <bottom/>
    </border>
    <border>
      <left style="medium">
        <color rgb="FF000000"/>
      </left>
      <right/>
      <top style="medium">
        <color rgb="FFFFFFFF"/>
      </top>
      <bottom style="medium">
        <color rgb="FFFFFFFF"/>
      </bottom>
    </border>
    <border>
      <left/>
      <right style="medium">
        <color rgb="FF000000"/>
      </right>
      <top style="medium">
        <color rgb="FFFFFFFF"/>
      </top>
      <bottom style="medium">
        <color rgb="FFFFFFFF"/>
      </bottom>
    </border>
    <border>
      <left style="medium">
        <color rgb="FFFFFFFF"/>
      </left>
      <right/>
      <top/>
      <bottom style="medium">
        <color rgb="FFFFFFFF"/>
      </bottom>
    </border>
    <border>
      <left/>
      <right/>
      <top/>
      <bottom style="medium">
        <color rgb="FFFFFFFF"/>
      </bottom>
    </border>
    <border>
      <left/>
      <right style="medium">
        <color rgb="FFFFFFFF"/>
      </right>
      <top/>
      <bottom style="medium">
        <color rgb="FFFFFFFF"/>
      </bottom>
    </border>
    <border>
      <left style="medium">
        <color rgb="FF000000"/>
      </left>
      <right/>
      <top style="medium">
        <color rgb="FFFFFFFF"/>
      </top>
      <bottom style="medium">
        <color rgb="FF000000"/>
      </bottom>
    </border>
    <border>
      <left/>
      <right/>
      <top style="medium">
        <color rgb="FFFFFFFF"/>
      </top>
      <bottom style="medium">
        <color rgb="FF000000"/>
      </bottom>
    </border>
    <border>
      <left/>
      <right style="medium">
        <color rgb="FFFFFFFF"/>
      </right>
      <top style="medium">
        <color rgb="FFFFFFFF"/>
      </top>
      <bottom style="medium">
        <color rgb="FF000000"/>
      </bottom>
    </border>
    <border>
      <left style="medium">
        <color rgb="FFFFFFFF"/>
      </left>
      <right/>
      <top style="medium">
        <color rgb="FFFFFFFF"/>
      </top>
      <bottom style="medium">
        <color rgb="FF000000"/>
      </bottom>
    </border>
    <border>
      <left/>
      <right style="medium">
        <color rgb="FF000000"/>
      </right>
      <top style="medium">
        <color rgb="FFFFFFFF"/>
      </top>
      <bottom style="medium">
        <color rgb="FF000000"/>
      </bottom>
    </border>
    <border>
      <left/>
      <right/>
      <top style="thick">
        <color rgb="FF0B5394"/>
      </top>
      <bottom/>
    </border>
    <border>
      <left style="medium">
        <color rgb="FFFFFFFF"/>
      </left>
      <right style="medium">
        <color rgb="FFFFFFFF"/>
      </right>
      <top/>
      <bottom style="medium">
        <color rgb="FFFFFFFF"/>
      </bottom>
    </border>
    <border>
      <left style="medium">
        <color rgb="FF9900FF"/>
      </left>
      <right/>
      <top style="medium">
        <color rgb="FF9900FF"/>
      </top>
      <bottom style="medium">
        <color rgb="FF9900FF"/>
      </bottom>
    </border>
    <border>
      <left/>
      <right style="medium">
        <color rgb="FF9900FF"/>
      </right>
      <top style="medium">
        <color rgb="FF9900FF"/>
      </top>
      <bottom style="medium">
        <color rgb="FF9900FF"/>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ck">
        <color rgb="FF0B5394"/>
      </left>
      <right/>
      <top style="thick">
        <color rgb="FF0B5394"/>
      </top>
      <bottom/>
    </border>
    <border>
      <left/>
      <right style="thick">
        <color rgb="FF0B5394"/>
      </right>
      <top style="thick">
        <color rgb="FF0B5394"/>
      </top>
      <bottom/>
    </border>
    <border>
      <left style="thick">
        <color rgb="FF0B5394"/>
      </left>
      <right/>
      <top/>
      <bottom/>
    </border>
    <border>
      <left/>
      <right style="thick">
        <color rgb="FF0B5394"/>
      </right>
      <top/>
      <bottom/>
    </border>
    <border>
      <left style="thick">
        <color rgb="FF0B5394"/>
      </left>
      <right/>
      <top/>
      <bottom style="thick">
        <color rgb="FF0B5394"/>
      </bottom>
    </border>
    <border>
      <left/>
      <right style="thick">
        <color rgb="FF0B5394"/>
      </right>
      <top/>
      <bottom style="thick">
        <color rgb="FF0B5394"/>
      </bottom>
    </border>
  </borders>
  <cellStyleXfs count="1">
    <xf borderId="0" fillId="0" fontId="0" numFmtId="0" applyAlignment="1" applyFont="1"/>
  </cellStyleXfs>
  <cellXfs count="342">
    <xf borderId="0" fillId="0" fontId="0" numFmtId="0" xfId="0" applyAlignment="1" applyFont="1">
      <alignment/>
    </xf>
    <xf borderId="0" fillId="2" fontId="1" numFmtId="0" xfId="0" applyAlignment="1" applyFill="1" applyFont="1">
      <alignment horizontal="left" vertical="top" wrapText="1"/>
    </xf>
    <xf borderId="0" fillId="0" fontId="2" numFmtId="0" xfId="0" applyAlignment="1" applyFont="1">
      <alignment horizontal="left" vertical="top" wrapText="1"/>
    </xf>
    <xf borderId="0" fillId="0" fontId="3" numFmtId="12" xfId="0" applyAlignment="1" applyFont="1" applyNumberFormat="1">
      <alignment vertical="top" wrapText="1"/>
    </xf>
    <xf borderId="0" fillId="0" fontId="4" numFmtId="0" xfId="0" applyAlignment="1" applyFont="1">
      <alignment horizontal="left" vertical="top" wrapText="1"/>
    </xf>
    <xf borderId="0" fillId="3" fontId="5" numFmtId="0" xfId="0" applyAlignment="1" applyFill="1" applyFont="1">
      <alignment vertical="top"/>
    </xf>
    <xf borderId="0" fillId="4" fontId="6" numFmtId="0" xfId="0" applyAlignment="1" applyFill="1" applyFont="1">
      <alignment horizontal="center" vertical="center" wrapText="1"/>
    </xf>
    <xf borderId="0" fillId="3" fontId="5" numFmtId="0" xfId="0" applyAlignment="1" applyFont="1">
      <alignment horizontal="right" vertical="top" wrapText="1"/>
    </xf>
    <xf borderId="0" fillId="0" fontId="7" numFmtId="0" xfId="0" applyAlignment="1" applyFont="1">
      <alignment horizontal="center" vertical="top"/>
    </xf>
    <xf borderId="0" fillId="0" fontId="4" numFmtId="0" xfId="0" applyAlignment="1" applyFont="1">
      <alignment vertical="top" wrapText="1"/>
    </xf>
    <xf borderId="0" fillId="0" fontId="8" numFmtId="0" xfId="0" applyAlignment="1" applyFont="1">
      <alignment horizontal="left" vertical="top"/>
    </xf>
    <xf borderId="0" fillId="4" fontId="9" numFmtId="0" xfId="0" applyAlignment="1" applyFont="1">
      <alignment horizontal="left" vertical="center"/>
    </xf>
    <xf borderId="0" fillId="0" fontId="4" numFmtId="0" xfId="0" applyAlignment="1" applyFont="1">
      <alignment horizontal="left" vertical="top" wrapText="1"/>
    </xf>
    <xf borderId="0" fillId="0" fontId="8" numFmtId="0" xfId="0" applyAlignment="1" applyFont="1">
      <alignment horizontal="right" vertical="top" wrapText="1"/>
    </xf>
    <xf borderId="0" fillId="0" fontId="4" numFmtId="0" xfId="0" applyAlignment="1" applyFont="1">
      <alignment horizontal="left" vertical="top" wrapText="1"/>
    </xf>
    <xf borderId="0" fillId="2" fontId="9" numFmtId="0" xfId="0" applyAlignment="1" applyFont="1">
      <alignment horizontal="center" vertical="center"/>
    </xf>
    <xf borderId="0" fillId="2" fontId="10" numFmtId="0" xfId="0" applyAlignment="1" applyFont="1">
      <alignment horizontal="center" vertical="center"/>
    </xf>
    <xf borderId="0" fillId="0" fontId="8" numFmtId="0" xfId="0" applyAlignment="1" applyFont="1">
      <alignment vertical="top" wrapText="1"/>
    </xf>
    <xf borderId="0" fillId="0" fontId="2" numFmtId="0" xfId="0" applyAlignment="1" applyFont="1">
      <alignment horizontal="left" vertical="top" wrapText="1"/>
    </xf>
    <xf borderId="0" fillId="0" fontId="4" numFmtId="0" xfId="0" applyAlignment="1" applyFont="1">
      <alignment horizontal="left" vertical="top"/>
    </xf>
    <xf borderId="0" fillId="5" fontId="6" numFmtId="0" xfId="0" applyAlignment="1" applyFill="1" applyFont="1">
      <alignment horizontal="center" vertical="center" wrapText="1"/>
    </xf>
    <xf borderId="0" fillId="0" fontId="2" numFmtId="0" xfId="0" applyAlignment="1" applyFont="1">
      <alignment horizontal="right" vertical="top" wrapText="1"/>
    </xf>
    <xf borderId="0" fillId="5" fontId="9" numFmtId="0" xfId="0" applyAlignment="1" applyFont="1">
      <alignment horizontal="left" vertical="center"/>
    </xf>
    <xf borderId="0" fillId="0" fontId="4" numFmtId="0" xfId="0" applyAlignment="1" applyFont="1">
      <alignment vertical="top" wrapText="1"/>
    </xf>
    <xf borderId="0" fillId="0" fontId="11" numFmtId="0" xfId="0" applyAlignment="1" applyFont="1">
      <alignment horizontal="left" vertical="top"/>
    </xf>
    <xf borderId="0" fillId="0" fontId="8" numFmtId="0" xfId="0" applyAlignment="1" applyFont="1">
      <alignment vertical="top"/>
    </xf>
    <xf borderId="0" fillId="2" fontId="12" numFmtId="0" xfId="0" applyAlignment="1" applyFont="1">
      <alignment horizontal="center" vertical="center"/>
    </xf>
    <xf borderId="0" fillId="6" fontId="13" numFmtId="0" xfId="0" applyAlignment="1" applyFill="1" applyFont="1">
      <alignment horizontal="left"/>
    </xf>
    <xf borderId="0" fillId="2" fontId="14" numFmtId="0" xfId="0" applyAlignment="1" applyFont="1">
      <alignment horizontal="left" vertical="center"/>
    </xf>
    <xf borderId="0" fillId="0" fontId="11" numFmtId="0" xfId="0" applyAlignment="1" applyFont="1">
      <alignment horizontal="left" vertical="top"/>
    </xf>
    <xf borderId="0" fillId="7" fontId="15" numFmtId="0" xfId="0" applyAlignment="1" applyFill="1" applyFont="1">
      <alignment horizontal="center" textRotation="90"/>
    </xf>
    <xf borderId="0" fillId="0" fontId="4" numFmtId="12" xfId="0" applyAlignment="1" applyFont="1" applyNumberFormat="1">
      <alignment vertical="top" wrapText="1"/>
    </xf>
    <xf borderId="0" fillId="7" fontId="9" numFmtId="0" xfId="0" applyAlignment="1" applyFont="1">
      <alignment horizontal="center"/>
    </xf>
    <xf borderId="0" fillId="0" fontId="8" numFmtId="0" xfId="0" applyAlignment="1" applyFont="1">
      <alignment vertical="top"/>
    </xf>
    <xf borderId="0" fillId="2" fontId="1" numFmtId="0" xfId="0" applyAlignment="1" applyFont="1">
      <alignment horizontal="left" wrapText="1"/>
    </xf>
    <xf borderId="0" fillId="2" fontId="16" numFmtId="0" xfId="0" applyAlignment="1" applyFont="1">
      <alignment horizontal="left" textRotation="90"/>
    </xf>
    <xf borderId="0" fillId="0" fontId="2" numFmtId="0" xfId="0" applyAlignment="1" applyFont="1">
      <alignment horizontal="left" vertical="top"/>
    </xf>
    <xf borderId="0" fillId="0" fontId="4" numFmtId="0" xfId="0" applyAlignment="1" applyFont="1">
      <alignment vertical="top"/>
    </xf>
    <xf borderId="0" fillId="2" fontId="16" numFmtId="0" xfId="0" applyAlignment="1" applyFont="1">
      <alignment horizontal="left" textRotation="90" wrapText="1"/>
    </xf>
    <xf borderId="0" fillId="8" fontId="17" numFmtId="0" xfId="0" applyAlignment="1" applyFill="1" applyFont="1">
      <alignment horizontal="center" vertical="center"/>
    </xf>
    <xf borderId="0" fillId="2" fontId="12" numFmtId="0" xfId="0" applyAlignment="1" applyFont="1">
      <alignment horizontal="left" vertical="top"/>
    </xf>
    <xf borderId="0" fillId="0" fontId="18" numFmtId="0" xfId="0" applyAlignment="1" applyFont="1">
      <alignment horizontal="left" vertical="top"/>
    </xf>
    <xf borderId="0" fillId="5" fontId="4" numFmtId="0" xfId="0" applyAlignment="1" applyFont="1">
      <alignment horizontal="left"/>
    </xf>
    <xf borderId="1" fillId="8" fontId="4" numFmtId="12" xfId="0" applyAlignment="1" applyBorder="1" applyFont="1" applyNumberFormat="1">
      <alignment horizontal="left" wrapText="1"/>
    </xf>
    <xf borderId="0" fillId="2" fontId="8" numFmtId="0" xfId="0" applyAlignment="1" applyFont="1">
      <alignment horizontal="left" vertical="top"/>
    </xf>
    <xf borderId="0" fillId="0" fontId="8" numFmtId="0" xfId="0" applyAlignment="1" applyFont="1">
      <alignment horizontal="left" vertical="top"/>
    </xf>
    <xf borderId="0" fillId="0" fontId="4" numFmtId="0" xfId="0" applyAlignment="1" applyFont="1">
      <alignment horizontal="left" vertical="top"/>
    </xf>
    <xf borderId="2" fillId="8" fontId="4" numFmtId="12" xfId="0" applyAlignment="1" applyBorder="1" applyFont="1" applyNumberFormat="1">
      <alignment horizontal="left" wrapText="1"/>
    </xf>
    <xf borderId="3" fillId="0" fontId="4" numFmtId="0" xfId="0" applyBorder="1" applyFont="1"/>
    <xf borderId="0" fillId="0" fontId="4" numFmtId="0" xfId="0" applyAlignment="1" applyFont="1">
      <alignment horizontal="right"/>
    </xf>
    <xf borderId="4" fillId="9" fontId="19" numFmtId="0" xfId="0" applyAlignment="1" applyBorder="1" applyFill="1" applyFont="1">
      <alignment horizontal="left" vertical="top"/>
    </xf>
    <xf borderId="2" fillId="8" fontId="4" numFmtId="12" xfId="0" applyAlignment="1" applyBorder="1" applyFont="1" applyNumberFormat="1">
      <alignment horizontal="left"/>
    </xf>
    <xf borderId="5" fillId="0" fontId="20" numFmtId="0" xfId="0" applyBorder="1" applyFont="1"/>
    <xf borderId="0" fillId="0" fontId="8" numFmtId="0" xfId="0" applyAlignment="1" applyFont="1">
      <alignment textRotation="90" wrapText="1"/>
    </xf>
    <xf borderId="6" fillId="0" fontId="20" numFmtId="0" xfId="0" applyBorder="1" applyFont="1"/>
    <xf borderId="0" fillId="0" fontId="4" numFmtId="0" xfId="0" applyAlignment="1" applyFont="1">
      <alignment/>
    </xf>
    <xf borderId="0" fillId="0" fontId="4" numFmtId="0" xfId="0" applyAlignment="1" applyFont="1">
      <alignment horizontal="center"/>
    </xf>
    <xf borderId="0" fillId="0" fontId="4" numFmtId="0" xfId="0" applyAlignment="1" applyFont="1">
      <alignment horizontal="center"/>
    </xf>
    <xf borderId="7" fillId="0" fontId="4" numFmtId="0" xfId="0" applyBorder="1" applyFont="1"/>
    <xf borderId="2" fillId="8" fontId="4" numFmtId="0" xfId="0" applyAlignment="1" applyBorder="1" applyFont="1">
      <alignment horizontal="left"/>
    </xf>
    <xf borderId="8" fillId="0" fontId="4" numFmtId="0" xfId="0" applyBorder="1" applyFont="1"/>
    <xf borderId="0" fillId="2" fontId="8" numFmtId="0" xfId="0" applyAlignment="1" applyFont="1">
      <alignment horizontal="right" vertical="top"/>
    </xf>
    <xf borderId="8" fillId="0" fontId="8" numFmtId="0" xfId="0" applyAlignment="1" applyBorder="1" applyFont="1">
      <alignment horizontal="center"/>
    </xf>
    <xf borderId="3" fillId="0" fontId="4" numFmtId="0" xfId="0" applyAlignment="1" applyBorder="1" applyFont="1">
      <alignment/>
    </xf>
    <xf borderId="0" fillId="0" fontId="4" numFmtId="0" xfId="0" applyFont="1"/>
    <xf borderId="9" fillId="10" fontId="4" numFmtId="0" xfId="0" applyAlignment="1" applyBorder="1" applyFill="1" applyFont="1">
      <alignment horizontal="center" vertical="center" wrapText="1"/>
    </xf>
    <xf borderId="0" fillId="0" fontId="8" numFmtId="0" xfId="0" applyAlignment="1" applyFont="1">
      <alignment horizontal="right" vertical="top"/>
    </xf>
    <xf borderId="10" fillId="0" fontId="20" numFmtId="0" xfId="0" applyBorder="1" applyFont="1"/>
    <xf borderId="7" fillId="0" fontId="20" numFmtId="0" xfId="0" applyBorder="1" applyFont="1"/>
    <xf borderId="0" fillId="0" fontId="4" numFmtId="0" xfId="0" applyAlignment="1" applyFont="1">
      <alignment horizontal="left" vertical="top"/>
    </xf>
    <xf borderId="9" fillId="0" fontId="21" numFmtId="0" xfId="0" applyAlignment="1" applyBorder="1" applyFont="1">
      <alignment horizontal="left" vertical="center"/>
    </xf>
    <xf borderId="11" fillId="0" fontId="4" numFmtId="0" xfId="0" applyBorder="1" applyFont="1"/>
    <xf borderId="12" fillId="0" fontId="22" numFmtId="12" xfId="0" applyAlignment="1" applyBorder="1" applyFont="1" applyNumberFormat="1">
      <alignment horizontal="left" vertical="center"/>
    </xf>
    <xf borderId="13" fillId="0" fontId="20" numFmtId="0" xfId="0" applyBorder="1" applyFont="1"/>
    <xf borderId="14" fillId="0" fontId="20" numFmtId="0" xfId="0" applyBorder="1" applyFont="1"/>
    <xf borderId="0" fillId="11" fontId="4" numFmtId="0" xfId="0" applyFill="1" applyFont="1"/>
    <xf borderId="15" fillId="0" fontId="22" numFmtId="12" xfId="0" applyAlignment="1" applyBorder="1" applyFont="1" applyNumberFormat="1">
      <alignment horizontal="center" vertical="center"/>
    </xf>
    <xf borderId="16" fillId="0" fontId="20" numFmtId="0" xfId="0" applyBorder="1" applyFont="1"/>
    <xf borderId="0" fillId="0" fontId="4" numFmtId="0" xfId="0" applyAlignment="1" applyFont="1">
      <alignment horizontal="left" vertical="top" wrapText="1"/>
    </xf>
    <xf borderId="17" fillId="0" fontId="20" numFmtId="0" xfId="0" applyBorder="1" applyFont="1"/>
    <xf borderId="18" fillId="0" fontId="20" numFmtId="0" xfId="0" applyBorder="1" applyFont="1"/>
    <xf borderId="0" fillId="0" fontId="23" numFmtId="0" xfId="0" applyAlignment="1" applyFont="1">
      <alignment horizontal="left"/>
    </xf>
    <xf borderId="11" fillId="0" fontId="24" numFmtId="0" xfId="0" applyAlignment="1" applyBorder="1" applyFont="1">
      <alignment horizontal="center"/>
    </xf>
    <xf borderId="11" fillId="0" fontId="25" numFmtId="0" xfId="0" applyAlignment="1" applyBorder="1" applyFont="1">
      <alignment horizontal="center"/>
    </xf>
    <xf borderId="11" fillId="0" fontId="25" numFmtId="0" xfId="0" applyAlignment="1" applyBorder="1" applyFont="1">
      <alignment horizontal="center" vertical="center"/>
    </xf>
    <xf borderId="0" fillId="5" fontId="26" numFmtId="0" xfId="0" applyAlignment="1" applyFont="1">
      <alignment horizontal="center" wrapText="1"/>
    </xf>
    <xf borderId="0" fillId="0" fontId="8" numFmtId="0" xfId="0" applyAlignment="1" applyFont="1">
      <alignment textRotation="90"/>
    </xf>
    <xf borderId="11" fillId="0" fontId="11" numFmtId="0" xfId="0" applyAlignment="1" applyBorder="1" applyFont="1">
      <alignment horizontal="center" vertical="center"/>
    </xf>
    <xf borderId="15" fillId="0" fontId="22" numFmtId="0" xfId="0" applyAlignment="1" applyBorder="1" applyFont="1">
      <alignment horizontal="center" vertical="center"/>
    </xf>
    <xf borderId="11" fillId="0" fontId="4" numFmtId="0" xfId="0" applyAlignment="1" applyBorder="1" applyFont="1">
      <alignment vertical="center"/>
    </xf>
    <xf borderId="15" fillId="10" fontId="22" numFmtId="0" xfId="0" applyAlignment="1" applyBorder="1" applyFont="1">
      <alignment horizontal="center" vertical="center"/>
    </xf>
    <xf borderId="15" fillId="10" fontId="22" numFmtId="0" xfId="0" applyAlignment="1" applyBorder="1" applyFont="1">
      <alignment horizontal="center" vertical="center"/>
    </xf>
    <xf borderId="0" fillId="2" fontId="23" numFmtId="0" xfId="0" applyAlignment="1" applyFont="1">
      <alignment horizontal="right" vertical="top"/>
    </xf>
    <xf borderId="0" fillId="0" fontId="23" numFmtId="0" xfId="0" applyAlignment="1" applyFont="1">
      <alignment horizontal="right" vertical="top"/>
    </xf>
    <xf borderId="0" fillId="0" fontId="11" numFmtId="0" xfId="0" applyAlignment="1" applyFont="1">
      <alignment horizontal="center"/>
    </xf>
    <xf borderId="0" fillId="0" fontId="23" numFmtId="0" xfId="0" applyAlignment="1" applyFont="1">
      <alignment horizontal="center"/>
    </xf>
    <xf borderId="0" fillId="2" fontId="23" numFmtId="0" xfId="0" applyAlignment="1" applyFont="1">
      <alignment horizontal="right" vertical="top" wrapText="1"/>
    </xf>
    <xf borderId="16" fillId="0" fontId="25" numFmtId="0" xfId="0" applyAlignment="1" applyBorder="1" applyFont="1">
      <alignment horizontal="right" wrapText="1"/>
    </xf>
    <xf borderId="0" fillId="0" fontId="23" numFmtId="0" xfId="0" applyAlignment="1" applyFont="1">
      <alignment horizontal="right" vertical="top" wrapText="1"/>
    </xf>
    <xf borderId="12" fillId="0" fontId="22" numFmtId="0" xfId="0" applyAlignment="1" applyBorder="1" applyFont="1">
      <alignment horizontal="center" vertical="center"/>
    </xf>
    <xf borderId="12" fillId="0" fontId="4" numFmtId="0" xfId="0" applyBorder="1" applyFont="1"/>
    <xf borderId="0" fillId="0" fontId="25" numFmtId="0" xfId="0" applyAlignment="1" applyFont="1">
      <alignment horizontal="center" wrapText="1"/>
    </xf>
    <xf borderId="0" fillId="0" fontId="14" numFmtId="0" xfId="0" applyAlignment="1" applyFont="1">
      <alignment horizontal="left" vertical="top" wrapText="1"/>
    </xf>
    <xf borderId="11" fillId="0" fontId="27" numFmtId="0" xfId="0" applyAlignment="1" applyBorder="1" applyFont="1">
      <alignment wrapText="1"/>
    </xf>
    <xf borderId="0" fillId="0" fontId="8" numFmtId="0" xfId="0" applyAlignment="1" applyFont="1">
      <alignment vertical="center"/>
    </xf>
    <xf borderId="19" fillId="0" fontId="28" numFmtId="0" xfId="0" applyAlignment="1" applyBorder="1" applyFont="1">
      <alignment horizontal="left" vertical="top" wrapText="1"/>
    </xf>
    <xf borderId="20" fillId="0" fontId="20" numFmtId="0" xfId="0" applyBorder="1" applyFont="1"/>
    <xf borderId="21" fillId="0" fontId="20" numFmtId="0" xfId="0" applyBorder="1" applyFont="1"/>
    <xf borderId="22" fillId="0" fontId="20" numFmtId="0" xfId="0" applyBorder="1" applyFont="1"/>
    <xf borderId="23" fillId="0" fontId="20" numFmtId="0" xfId="0" applyBorder="1" applyFont="1"/>
    <xf borderId="24" fillId="0" fontId="20" numFmtId="0" xfId="0" applyBorder="1" applyFont="1"/>
    <xf borderId="0" fillId="2" fontId="14" numFmtId="0" xfId="0" applyAlignment="1" applyFont="1">
      <alignment horizontal="left" vertical="top" wrapText="1"/>
    </xf>
    <xf borderId="23" fillId="0" fontId="25" numFmtId="0" xfId="0" applyAlignment="1" applyBorder="1" applyFont="1">
      <alignment horizontal="center" vertical="top"/>
    </xf>
    <xf borderId="0" fillId="2" fontId="23" numFmtId="0" xfId="0" applyAlignment="1" applyFont="1">
      <alignment horizontal="left" vertical="top" wrapText="1"/>
    </xf>
    <xf borderId="0" fillId="0" fontId="23" numFmtId="0" xfId="0" applyAlignment="1" applyFont="1">
      <alignment horizontal="left" vertical="top" wrapText="1"/>
    </xf>
    <xf borderId="0" fillId="0" fontId="22" numFmtId="0" xfId="0" applyAlignment="1" applyFont="1">
      <alignment horizontal="left" vertical="top" wrapText="1"/>
    </xf>
    <xf borderId="25" fillId="0" fontId="27" numFmtId="0" xfId="0" applyAlignment="1" applyBorder="1" applyFont="1">
      <alignment horizontal="center" vertical="top" wrapText="1"/>
    </xf>
    <xf borderId="0" fillId="12" fontId="8" numFmtId="0" xfId="0" applyAlignment="1" applyFill="1" applyFont="1">
      <alignment horizontal="center" textRotation="90" wrapText="1"/>
    </xf>
    <xf borderId="25" fillId="0" fontId="20" numFmtId="0" xfId="0" applyBorder="1" applyFont="1"/>
    <xf borderId="0" fillId="13" fontId="8" numFmtId="0" xfId="0" applyAlignment="1" applyFill="1" applyFont="1">
      <alignment horizontal="center" textRotation="90" wrapText="1"/>
    </xf>
    <xf borderId="0" fillId="14" fontId="8" numFmtId="0" xfId="0" applyAlignment="1" applyFill="1" applyFont="1">
      <alignment horizontal="center" textRotation="90" wrapText="1"/>
    </xf>
    <xf borderId="0" fillId="5" fontId="4" numFmtId="0" xfId="0" applyAlignment="1" applyFont="1">
      <alignment horizontal="center"/>
    </xf>
    <xf borderId="26" fillId="0" fontId="27" numFmtId="0" xfId="0" applyAlignment="1" applyBorder="1" applyFont="1">
      <alignment horizontal="center" vertical="top" wrapText="1"/>
    </xf>
    <xf borderId="0" fillId="2" fontId="14" numFmtId="0" xfId="0" applyAlignment="1" applyFont="1">
      <alignment horizontal="left" vertical="top"/>
    </xf>
    <xf borderId="26" fillId="0" fontId="20" numFmtId="0" xfId="0" applyBorder="1" applyFont="1"/>
    <xf borderId="0" fillId="0" fontId="14" numFmtId="0" xfId="0" applyAlignment="1" applyFont="1">
      <alignment horizontal="left" vertical="top"/>
    </xf>
    <xf borderId="0" fillId="15" fontId="8" numFmtId="0" xfId="0" applyAlignment="1" applyFill="1" applyFont="1">
      <alignment horizontal="center" textRotation="90" wrapText="1"/>
    </xf>
    <xf borderId="0" fillId="0" fontId="8" numFmtId="0" xfId="0" applyAlignment="1" applyFont="1">
      <alignment horizontal="center" textRotation="90" wrapText="1"/>
    </xf>
    <xf borderId="0" fillId="0" fontId="22" numFmtId="0" xfId="0" applyAlignment="1" applyFont="1">
      <alignment horizontal="left" vertical="top"/>
    </xf>
    <xf borderId="0" fillId="12" fontId="4" numFmtId="0" xfId="0" applyFont="1"/>
    <xf borderId="0" fillId="12" fontId="4" numFmtId="0" xfId="0" applyAlignment="1" applyFont="1">
      <alignment/>
    </xf>
    <xf borderId="0" fillId="13" fontId="4" numFmtId="0" xfId="0" applyAlignment="1" applyFont="1">
      <alignment/>
    </xf>
    <xf borderId="0" fillId="14" fontId="4" numFmtId="0" xfId="0" applyAlignment="1" applyFont="1">
      <alignment/>
    </xf>
    <xf borderId="0" fillId="15" fontId="4" numFmtId="0" xfId="0" applyAlignment="1" applyFont="1">
      <alignment/>
    </xf>
    <xf borderId="27" fillId="0" fontId="4" numFmtId="0" xfId="0" applyBorder="1" applyFont="1"/>
    <xf borderId="0" fillId="0" fontId="22" numFmtId="0" xfId="0" applyAlignment="1" applyFont="1">
      <alignment horizontal="left"/>
    </xf>
    <xf borderId="16" fillId="0" fontId="4" numFmtId="0" xfId="0" applyBorder="1" applyFont="1"/>
    <xf borderId="28" fillId="0" fontId="25" numFmtId="0" xfId="0" applyAlignment="1" applyBorder="1" applyFont="1">
      <alignment horizontal="left"/>
    </xf>
    <xf borderId="29" fillId="0" fontId="20" numFmtId="0" xfId="0" applyBorder="1" applyFont="1"/>
    <xf borderId="18" fillId="0" fontId="4" numFmtId="0" xfId="0" applyBorder="1" applyFont="1"/>
    <xf borderId="30" fillId="9" fontId="19" numFmtId="0" xfId="0" applyAlignment="1" applyBorder="1" applyFont="1">
      <alignment horizontal="left" vertical="top"/>
    </xf>
    <xf borderId="31" fillId="0" fontId="20" numFmtId="0" xfId="0" applyBorder="1" applyFont="1"/>
    <xf borderId="32" fillId="0" fontId="4" numFmtId="0" xfId="0" applyBorder="1" applyFont="1"/>
    <xf borderId="0" fillId="16" fontId="4" numFmtId="0" xfId="0" applyAlignment="1" applyFill="1" applyFont="1">
      <alignment/>
    </xf>
    <xf borderId="0" fillId="6" fontId="14" numFmtId="0" xfId="0" applyAlignment="1" applyFont="1">
      <alignment horizontal="left" vertical="top"/>
    </xf>
    <xf borderId="33" fillId="0" fontId="20" numFmtId="0" xfId="0" applyBorder="1" applyFont="1"/>
    <xf borderId="32" fillId="10" fontId="4" numFmtId="0" xfId="0" applyBorder="1" applyFont="1"/>
    <xf borderId="19" fillId="10" fontId="4" numFmtId="0" xfId="0" applyAlignment="1" applyBorder="1" applyFont="1">
      <alignment horizontal="left" vertical="top" wrapText="1"/>
    </xf>
    <xf borderId="0" fillId="2" fontId="29" numFmtId="0" xfId="0" applyAlignment="1" applyFont="1">
      <alignment horizontal="center" vertical="center"/>
    </xf>
    <xf borderId="0" fillId="16" fontId="4" numFmtId="12" xfId="0" applyAlignment="1" applyFont="1" applyNumberFormat="1">
      <alignment/>
    </xf>
    <xf borderId="34" fillId="0" fontId="4" numFmtId="0" xfId="0" applyBorder="1" applyFont="1"/>
    <xf borderId="0" fillId="0" fontId="23" numFmtId="0" xfId="0" applyAlignment="1" applyFont="1">
      <alignment horizontal="left" vertical="top"/>
    </xf>
    <xf borderId="35" fillId="0" fontId="20" numFmtId="0" xfId="0" applyBorder="1" applyFont="1"/>
    <xf borderId="0" fillId="0" fontId="30" numFmtId="0" xfId="0" applyAlignment="1" applyFont="1">
      <alignment horizontal="center" vertical="center"/>
    </xf>
    <xf borderId="34" fillId="10" fontId="4" numFmtId="0" xfId="0" applyBorder="1" applyFont="1"/>
    <xf borderId="36" fillId="0" fontId="20" numFmtId="0" xfId="0" applyBorder="1" applyFont="1"/>
    <xf borderId="37" fillId="0" fontId="20" numFmtId="0" xfId="0" applyBorder="1" applyFont="1"/>
    <xf borderId="34" fillId="0" fontId="4" numFmtId="0" xfId="0" applyAlignment="1" applyBorder="1" applyFont="1">
      <alignment/>
    </xf>
    <xf borderId="0" fillId="0" fontId="4" numFmtId="0" xfId="0" applyAlignment="1" applyFont="1">
      <alignment horizontal="center"/>
    </xf>
    <xf borderId="12" fillId="0" fontId="27" numFmtId="12" xfId="0" applyAlignment="1" applyBorder="1" applyFont="1" applyNumberFormat="1">
      <alignment horizontal="center" vertical="center" wrapText="1"/>
    </xf>
    <xf borderId="19" fillId="10" fontId="28" numFmtId="0" xfId="0" applyAlignment="1" applyBorder="1" applyFont="1">
      <alignment horizontal="left" vertical="top" wrapText="1"/>
    </xf>
    <xf borderId="38" fillId="0" fontId="20" numFmtId="0" xfId="0" applyBorder="1" applyFont="1"/>
    <xf borderId="39" fillId="0" fontId="4" numFmtId="0" xfId="0" applyBorder="1" applyFont="1"/>
    <xf borderId="40" fillId="0" fontId="4" numFmtId="0" xfId="0" applyBorder="1" applyFont="1"/>
    <xf borderId="41" fillId="0" fontId="23" numFmtId="0" xfId="0" applyAlignment="1" applyBorder="1" applyFont="1">
      <alignment/>
    </xf>
    <xf borderId="42" fillId="0" fontId="20" numFmtId="0" xfId="0" applyBorder="1" applyFont="1"/>
    <xf borderId="43" fillId="0" fontId="20" numFmtId="0" xfId="0" applyBorder="1" applyFont="1"/>
    <xf borderId="44" fillId="0" fontId="31" numFmtId="0" xfId="0" applyAlignment="1" applyBorder="1" applyFont="1">
      <alignment horizontal="center" vertical="center" wrapText="1"/>
    </xf>
    <xf borderId="45" fillId="0" fontId="4" numFmtId="0" xfId="0" applyBorder="1" applyFont="1"/>
    <xf borderId="46" fillId="0" fontId="4" numFmtId="0" xfId="0" applyBorder="1" applyFont="1"/>
    <xf borderId="47" fillId="0" fontId="4" numFmtId="0" xfId="0" applyBorder="1" applyFont="1"/>
    <xf borderId="22" fillId="0" fontId="30" numFmtId="0" xfId="0" applyAlignment="1" applyBorder="1" applyFont="1">
      <alignment horizontal="center" vertical="center"/>
    </xf>
    <xf borderId="48" fillId="10" fontId="4" numFmtId="0" xfId="0" applyAlignment="1" applyBorder="1" applyFont="1">
      <alignment horizontal="center" vertical="center"/>
    </xf>
    <xf borderId="49" fillId="0" fontId="20" numFmtId="0" xfId="0" applyBorder="1" applyFont="1"/>
    <xf borderId="50" fillId="0" fontId="4" numFmtId="0" xfId="0" applyBorder="1" applyFont="1"/>
    <xf borderId="12" fillId="3" fontId="32" numFmtId="0" xfId="0" applyBorder="1" applyFont="1"/>
    <xf borderId="19" fillId="3" fontId="32" numFmtId="0" xfId="0" applyBorder="1" applyFont="1"/>
    <xf borderId="15" fillId="3" fontId="32" numFmtId="0" xfId="0" applyBorder="1" applyFont="1"/>
    <xf borderId="40" fillId="6" fontId="23" numFmtId="0" xfId="0" applyAlignment="1" applyBorder="1" applyFont="1">
      <alignment horizontal="center"/>
    </xf>
    <xf borderId="51" fillId="6" fontId="28" numFmtId="0" xfId="0" applyAlignment="1" applyBorder="1" applyFont="1">
      <alignment horizontal="left" vertical="center" wrapText="1"/>
    </xf>
    <xf borderId="52" fillId="0" fontId="20" numFmtId="0" xfId="0" applyBorder="1" applyFont="1"/>
    <xf borderId="53" fillId="0" fontId="20" numFmtId="0" xfId="0" applyBorder="1" applyFont="1"/>
    <xf borderId="22" fillId="3" fontId="32" numFmtId="0" xfId="0" applyBorder="1" applyFont="1"/>
    <xf borderId="54" fillId="6" fontId="33" numFmtId="0" xfId="0" applyAlignment="1" applyBorder="1" applyFont="1">
      <alignment horizontal="right" vertical="center"/>
    </xf>
    <xf borderId="55" fillId="0" fontId="20" numFmtId="0" xfId="0" applyBorder="1" applyFont="1"/>
    <xf borderId="56" fillId="0" fontId="20" numFmtId="0" xfId="0" applyBorder="1" applyFont="1"/>
    <xf borderId="57" fillId="0" fontId="34" numFmtId="0" xfId="0" applyAlignment="1" applyBorder="1" applyFont="1">
      <alignment horizontal="center" vertical="center"/>
    </xf>
    <xf borderId="20" fillId="10" fontId="28" numFmtId="0" xfId="0" applyAlignment="1" applyBorder="1" applyFont="1">
      <alignment horizontal="left" vertical="center"/>
    </xf>
    <xf borderId="14" fillId="3" fontId="32" numFmtId="0" xfId="0" applyBorder="1" applyFont="1"/>
    <xf borderId="40" fillId="6" fontId="4" numFmtId="0" xfId="0" applyBorder="1" applyFont="1"/>
    <xf borderId="58" fillId="6" fontId="28" numFmtId="0" xfId="0" applyAlignment="1" applyBorder="1" applyFont="1">
      <alignment vertical="center" wrapText="1"/>
    </xf>
    <xf borderId="59" fillId="0" fontId="20" numFmtId="0" xfId="0" applyBorder="1" applyFont="1"/>
    <xf borderId="45" fillId="0" fontId="20" numFmtId="0" xfId="0" applyBorder="1" applyFont="1"/>
    <xf borderId="60" fillId="6" fontId="33" numFmtId="0" xfId="0" applyAlignment="1" applyBorder="1" applyFont="1">
      <alignment horizontal="right" vertical="center"/>
    </xf>
    <xf borderId="51" fillId="0" fontId="34" numFmtId="0" xfId="0" applyAlignment="1" applyBorder="1" applyFont="1">
      <alignment horizontal="center" vertical="center"/>
    </xf>
    <xf borderId="51" fillId="10" fontId="28" numFmtId="0" xfId="0" applyAlignment="1" applyBorder="1" applyFont="1">
      <alignment horizontal="left" vertical="center"/>
    </xf>
    <xf borderId="61" fillId="0" fontId="20" numFmtId="0" xfId="0" applyBorder="1" applyFont="1"/>
    <xf borderId="62" fillId="0" fontId="20" numFmtId="0" xfId="0" applyBorder="1" applyFont="1"/>
    <xf borderId="63" fillId="0" fontId="20" numFmtId="0" xfId="0" applyBorder="1" applyFont="1"/>
    <xf borderId="64" fillId="0" fontId="20" numFmtId="0" xfId="0" applyBorder="1" applyFont="1"/>
    <xf borderId="12" fillId="3" fontId="12" numFmtId="0" xfId="0" applyAlignment="1" applyBorder="1" applyFont="1">
      <alignment/>
    </xf>
    <xf borderId="60" fillId="6" fontId="33" numFmtId="0" xfId="0" applyAlignment="1" applyBorder="1" applyFont="1">
      <alignment horizontal="right" vertical="center"/>
    </xf>
    <xf borderId="65" fillId="6" fontId="33" numFmtId="0" xfId="0" applyAlignment="1" applyBorder="1" applyFont="1">
      <alignment horizontal="right" vertical="center"/>
    </xf>
    <xf borderId="66" fillId="0" fontId="20" numFmtId="0" xfId="0" applyBorder="1" applyFont="1"/>
    <xf borderId="67" fillId="0" fontId="20" numFmtId="0" xfId="0" applyBorder="1" applyFont="1"/>
    <xf borderId="68" fillId="0" fontId="34" numFmtId="0" xfId="0" applyAlignment="1" applyBorder="1" applyFont="1">
      <alignment horizontal="center" vertical="center"/>
    </xf>
    <xf borderId="0" fillId="5" fontId="32" numFmtId="0" xfId="0" applyAlignment="1" applyFont="1">
      <alignment horizontal="left"/>
    </xf>
    <xf borderId="68" fillId="10" fontId="28" numFmtId="0" xfId="0" applyAlignment="1" applyBorder="1" applyFont="1">
      <alignment horizontal="left" vertical="center"/>
    </xf>
    <xf borderId="0" fillId="6" fontId="16" numFmtId="0" xfId="0" applyAlignment="1" applyFont="1">
      <alignment horizontal="left" textRotation="45" vertical="top"/>
    </xf>
    <xf borderId="0" fillId="6" fontId="16" numFmtId="0" xfId="0" applyAlignment="1" applyFont="1">
      <alignment horizontal="left" textRotation="45" vertical="top" wrapText="1"/>
    </xf>
    <xf borderId="69" fillId="0" fontId="20" numFmtId="0" xfId="0" applyBorder="1" applyFont="1"/>
    <xf borderId="0" fillId="2" fontId="35" numFmtId="0" xfId="0" applyAlignment="1" applyFont="1">
      <alignment horizontal="left" vertical="top"/>
    </xf>
    <xf borderId="70" fillId="0" fontId="36" numFmtId="0" xfId="0" applyAlignment="1" applyBorder="1" applyFont="1">
      <alignment horizontal="left" vertical="top"/>
    </xf>
    <xf borderId="51" fillId="6" fontId="28" numFmtId="0" xfId="0" applyAlignment="1" applyBorder="1" applyFont="1">
      <alignment vertical="center" wrapText="1"/>
    </xf>
    <xf borderId="70" fillId="0" fontId="36" numFmtId="0" xfId="0" applyAlignment="1" applyBorder="1" applyFont="1">
      <alignment horizontal="center" vertical="top" wrapText="1"/>
    </xf>
    <xf borderId="70" fillId="0" fontId="36" numFmtId="0" xfId="0" applyAlignment="1" applyBorder="1" applyFont="1">
      <alignment horizontal="center" vertical="top"/>
    </xf>
    <xf borderId="70" fillId="0" fontId="17" numFmtId="0" xfId="0" applyAlignment="1" applyBorder="1" applyFont="1">
      <alignment horizontal="left" vertical="top"/>
    </xf>
    <xf borderId="70" fillId="0" fontId="17" numFmtId="0" xfId="0" applyAlignment="1" applyBorder="1" applyFont="1">
      <alignment horizontal="center" vertical="top"/>
    </xf>
    <xf borderId="71" fillId="0" fontId="4" numFmtId="0" xfId="0" applyBorder="1" applyFont="1"/>
    <xf borderId="0" fillId="0" fontId="28" numFmtId="0" xfId="0" applyAlignment="1" applyFont="1">
      <alignment horizontal="center" vertical="top"/>
    </xf>
    <xf borderId="71" fillId="0" fontId="20" numFmtId="0" xfId="0" applyBorder="1" applyFont="1"/>
    <xf borderId="71" fillId="6" fontId="4" numFmtId="0" xfId="0" applyBorder="1" applyFont="1"/>
    <xf borderId="0" fillId="2" fontId="37" numFmtId="0" xfId="0" applyAlignment="1" applyFont="1">
      <alignment horizontal="left" vertical="top"/>
    </xf>
    <xf borderId="0" fillId="0" fontId="28" numFmtId="0" xfId="0" applyAlignment="1" applyFont="1">
      <alignment horizontal="left" vertical="top"/>
    </xf>
    <xf borderId="0" fillId="0" fontId="38" numFmtId="0" xfId="0" applyAlignment="1" applyFont="1">
      <alignment horizontal="center" vertical="center" wrapText="1"/>
    </xf>
    <xf borderId="0" fillId="0" fontId="39" numFmtId="0" xfId="0" applyAlignment="1" applyFont="1">
      <alignment horizontal="center" vertical="top"/>
    </xf>
    <xf borderId="0" fillId="0" fontId="39" numFmtId="12" xfId="0" applyAlignment="1" applyFont="1" applyNumberFormat="1">
      <alignment horizontal="center" vertical="top"/>
    </xf>
    <xf borderId="0" fillId="0" fontId="38" numFmtId="0" xfId="0" applyAlignment="1" applyFont="1">
      <alignment horizontal="center" vertical="center" wrapText="1"/>
    </xf>
    <xf borderId="0" fillId="17" fontId="4" numFmtId="0" xfId="0" applyAlignment="1" applyFill="1" applyFont="1">
      <alignment/>
    </xf>
    <xf borderId="0" fillId="18" fontId="4" numFmtId="0" xfId="0" applyAlignment="1" applyFill="1" applyFont="1">
      <alignment/>
    </xf>
    <xf borderId="0" fillId="19" fontId="4" numFmtId="0" xfId="0" applyAlignment="1" applyFill="1" applyFont="1">
      <alignment/>
    </xf>
    <xf borderId="0" fillId="20" fontId="4" numFmtId="0" xfId="0" applyAlignment="1" applyFill="1" applyFont="1">
      <alignment/>
    </xf>
    <xf borderId="0" fillId="21" fontId="4" numFmtId="0" xfId="0" applyAlignment="1" applyFill="1" applyFont="1">
      <alignment/>
    </xf>
    <xf borderId="0" fillId="8" fontId="4" numFmtId="0" xfId="0" applyAlignment="1" applyFont="1">
      <alignment/>
    </xf>
    <xf borderId="0" fillId="10" fontId="4" numFmtId="0" xfId="0" applyAlignment="1" applyFont="1">
      <alignment/>
    </xf>
    <xf borderId="0" fillId="10" fontId="4" numFmtId="0" xfId="0" applyAlignment="1" applyFont="1">
      <alignment/>
    </xf>
    <xf borderId="0" fillId="12" fontId="4" numFmtId="0" xfId="0" applyAlignment="1" applyFont="1">
      <alignment/>
    </xf>
    <xf borderId="0" fillId="22" fontId="4" numFmtId="0" xfId="0" applyAlignment="1" applyFill="1" applyFont="1">
      <alignment/>
    </xf>
    <xf borderId="0" fillId="22" fontId="4" numFmtId="0" xfId="0" applyAlignment="1" applyFont="1">
      <alignment/>
    </xf>
    <xf borderId="72" fillId="0" fontId="4" numFmtId="0" xfId="0" applyAlignment="1" applyBorder="1" applyFont="1">
      <alignment horizontal="right" wrapText="1"/>
    </xf>
    <xf borderId="73" fillId="0" fontId="4" numFmtId="0" xfId="0" applyAlignment="1" applyBorder="1" applyFont="1">
      <alignment horizontal="center"/>
    </xf>
    <xf borderId="0" fillId="0" fontId="4" numFmtId="0" xfId="0" applyAlignment="1" applyFont="1">
      <alignment horizontal="center"/>
    </xf>
    <xf borderId="0" fillId="17" fontId="8" numFmtId="0" xfId="0" applyAlignment="1" applyFont="1">
      <alignment textRotation="90" wrapText="1"/>
    </xf>
    <xf borderId="0" fillId="20" fontId="8" numFmtId="0" xfId="0" applyAlignment="1" applyFont="1">
      <alignment textRotation="90" wrapText="1"/>
    </xf>
    <xf borderId="0" fillId="17" fontId="4" numFmtId="0" xfId="0" applyAlignment="1" applyFont="1">
      <alignment/>
    </xf>
    <xf borderId="0" fillId="20" fontId="4" numFmtId="0" xfId="0" applyAlignment="1" applyFont="1">
      <alignment/>
    </xf>
    <xf borderId="0" fillId="20" fontId="4" numFmtId="0" xfId="0" applyAlignment="1" applyFont="1">
      <alignment/>
    </xf>
    <xf borderId="0" fillId="20" fontId="40" numFmtId="0" xfId="0" applyAlignment="1" applyFont="1">
      <alignment horizontal="left"/>
    </xf>
    <xf borderId="0" fillId="6" fontId="39" numFmtId="0" xfId="0" applyAlignment="1" applyFont="1">
      <alignment horizontal="center" wrapText="1"/>
    </xf>
    <xf borderId="0" fillId="23" fontId="39" numFmtId="0" xfId="0" applyAlignment="1" applyFill="1" applyFont="1">
      <alignment horizontal="center" wrapText="1"/>
    </xf>
    <xf borderId="0" fillId="20" fontId="4" numFmtId="0" xfId="0" applyAlignment="1" applyFont="1">
      <alignment/>
    </xf>
    <xf borderId="0" fillId="0" fontId="8" numFmtId="0" xfId="0" applyAlignment="1" applyFont="1">
      <alignment textRotation="90" wrapText="1"/>
    </xf>
    <xf borderId="0" fillId="24" fontId="8" numFmtId="0" xfId="0" applyAlignment="1" applyFill="1" applyFont="1">
      <alignment textRotation="90" wrapText="1"/>
    </xf>
    <xf borderId="0" fillId="0" fontId="4" numFmtId="0" xfId="0" applyAlignment="1" applyFont="1">
      <alignment wrapText="1"/>
    </xf>
    <xf borderId="0" fillId="0" fontId="4" numFmtId="0" xfId="0" applyAlignment="1" applyFont="1">
      <alignment wrapText="1"/>
    </xf>
    <xf borderId="0" fillId="0" fontId="4" numFmtId="0" xfId="0" applyAlignment="1" applyFont="1">
      <alignment wrapText="1"/>
    </xf>
    <xf borderId="0" fillId="24" fontId="4" numFmtId="0" xfId="0" applyAlignment="1" applyFont="1">
      <alignment wrapText="1"/>
    </xf>
    <xf borderId="0" fillId="0" fontId="4" numFmtId="0" xfId="0" applyAlignment="1" applyFont="1">
      <alignment horizontal="right" wrapText="1"/>
    </xf>
    <xf borderId="0" fillId="0" fontId="4" numFmtId="0" xfId="0" applyAlignment="1" applyFont="1">
      <alignment horizontal="center" wrapText="1"/>
    </xf>
    <xf borderId="0" fillId="0" fontId="2" numFmtId="0" xfId="0" applyAlignment="1" applyFont="1">
      <alignment horizontal="left" wrapText="1"/>
    </xf>
    <xf borderId="0" fillId="0" fontId="20" numFmtId="0" xfId="0" applyAlignment="1" applyFont="1">
      <alignment wrapText="1"/>
    </xf>
    <xf borderId="0" fillId="11" fontId="2" numFmtId="0" xfId="0" applyAlignment="1" applyFont="1">
      <alignment horizontal="left" wrapText="1"/>
    </xf>
    <xf borderId="0" fillId="11" fontId="4" numFmtId="0" xfId="0" applyAlignment="1" applyFont="1">
      <alignment wrapText="1"/>
    </xf>
    <xf borderId="0" fillId="25" fontId="4" numFmtId="0" xfId="0" applyAlignment="1" applyFill="1" applyFont="1">
      <alignment wrapText="1"/>
    </xf>
    <xf borderId="0" fillId="19" fontId="4" numFmtId="0" xfId="0" applyAlignment="1" applyFont="1">
      <alignment wrapText="1"/>
    </xf>
    <xf borderId="0" fillId="0" fontId="4" numFmtId="12" xfId="0" applyAlignment="1" applyFont="1" applyNumberFormat="1">
      <alignment horizontal="left" wrapText="1"/>
    </xf>
    <xf borderId="0" fillId="0" fontId="8" numFmtId="0" xfId="0" applyAlignment="1" applyFont="1">
      <alignment/>
    </xf>
    <xf borderId="0" fillId="0" fontId="4" numFmtId="12" xfId="0" applyAlignment="1" applyFont="1" applyNumberFormat="1">
      <alignment/>
    </xf>
    <xf borderId="0" fillId="11" fontId="4" numFmtId="0" xfId="0" applyAlignment="1" applyFont="1">
      <alignment horizontal="center"/>
    </xf>
    <xf borderId="0" fillId="11" fontId="2" numFmtId="0" xfId="0" applyAlignment="1" applyFont="1">
      <alignment horizontal="left"/>
    </xf>
    <xf borderId="0" fillId="24" fontId="4" numFmtId="0" xfId="0" applyAlignment="1" applyFont="1">
      <alignment/>
    </xf>
    <xf borderId="0" fillId="0" fontId="4" numFmtId="12" xfId="0" applyAlignment="1" applyFont="1" applyNumberFormat="1">
      <alignment/>
    </xf>
    <xf borderId="0" fillId="0" fontId="4" numFmtId="0" xfId="0" applyAlignment="1" applyFont="1">
      <alignment/>
    </xf>
    <xf borderId="0" fillId="21" fontId="4" numFmtId="0" xfId="0" applyAlignment="1" applyFont="1">
      <alignment/>
    </xf>
    <xf borderId="0" fillId="0" fontId="4" numFmtId="0" xfId="0" applyAlignment="1" applyFont="1">
      <alignment horizontal="right"/>
    </xf>
    <xf borderId="0" fillId="0" fontId="41" numFmtId="0" xfId="0" applyAlignment="1" applyFont="1">
      <alignment horizontal="center"/>
    </xf>
    <xf borderId="0" fillId="0" fontId="42" numFmtId="0" xfId="0" applyAlignment="1" applyFont="1">
      <alignment horizontal="center" textRotation="90"/>
    </xf>
    <xf borderId="0" fillId="0" fontId="42" numFmtId="0" xfId="0" applyAlignment="1" applyFont="1">
      <alignment horizontal="center" textRotation="90" wrapText="1"/>
    </xf>
    <xf borderId="0" fillId="0" fontId="42" numFmtId="0" xfId="0" applyAlignment="1" applyFont="1">
      <alignment horizontal="center" wrapText="1"/>
    </xf>
    <xf borderId="0" fillId="0" fontId="4" numFmtId="0" xfId="0" applyAlignment="1" applyFont="1">
      <alignment horizontal="center" vertical="top" wrapText="1"/>
    </xf>
    <xf borderId="0" fillId="0" fontId="4" numFmtId="164" xfId="0" applyAlignment="1" applyFont="1" applyNumberFormat="1">
      <alignment horizontal="center" vertical="top" wrapText="1"/>
    </xf>
    <xf borderId="0" fillId="0" fontId="4" numFmtId="0" xfId="0" applyAlignment="1" applyFont="1">
      <alignment horizontal="left" vertical="top" wrapText="1"/>
    </xf>
    <xf borderId="0" fillId="0" fontId="4" numFmtId="0" xfId="0" applyAlignment="1" applyFont="1">
      <alignment horizontal="center" vertical="top"/>
    </xf>
    <xf borderId="0" fillId="0" fontId="4" numFmtId="164" xfId="0" applyAlignment="1" applyFont="1" applyNumberFormat="1">
      <alignment horizontal="center" vertical="top" wrapText="1"/>
    </xf>
    <xf borderId="0" fillId="0" fontId="20" numFmtId="0" xfId="0" applyAlignment="1" applyFont="1">
      <alignment horizontal="center" vertical="top" wrapText="1"/>
    </xf>
    <xf borderId="0" fillId="0" fontId="20" numFmtId="164" xfId="0" applyAlignment="1" applyFont="1" applyNumberFormat="1">
      <alignment horizontal="center" vertical="top" wrapText="1"/>
    </xf>
    <xf borderId="0" fillId="0" fontId="20" numFmtId="0" xfId="0" applyAlignment="1" applyFont="1">
      <alignment horizontal="left" vertical="top" wrapText="1"/>
    </xf>
    <xf borderId="0" fillId="0" fontId="42" numFmtId="0" xfId="0" applyAlignment="1" applyFont="1">
      <alignment textRotation="45"/>
    </xf>
    <xf borderId="0" fillId="0" fontId="28" numFmtId="0" xfId="0" applyAlignment="1" applyFont="1">
      <alignment wrapText="1"/>
    </xf>
    <xf borderId="74" fillId="0" fontId="4" numFmtId="0" xfId="0" applyAlignment="1" applyBorder="1" applyFont="1">
      <alignment horizontal="right"/>
    </xf>
    <xf borderId="0" fillId="0" fontId="43" numFmtId="0" xfId="0" applyAlignment="1" applyFont="1">
      <alignment wrapText="1"/>
    </xf>
    <xf borderId="75" fillId="0" fontId="4" numFmtId="0" xfId="0" applyAlignment="1" applyBorder="1" applyFont="1">
      <alignment horizontal="right"/>
    </xf>
    <xf borderId="0" fillId="0" fontId="44" numFmtId="0" xfId="0" applyAlignment="1" applyFont="1">
      <alignment wrapText="1"/>
    </xf>
    <xf borderId="0" fillId="0" fontId="45" numFmtId="0" xfId="0" applyAlignment="1" applyFont="1">
      <alignment/>
    </xf>
    <xf borderId="76" fillId="0" fontId="4" numFmtId="0" xfId="0" applyAlignment="1" applyBorder="1" applyFont="1">
      <alignment horizontal="right"/>
    </xf>
    <xf borderId="0" fillId="0" fontId="4" numFmtId="0" xfId="0" applyFont="1"/>
    <xf borderId="0" fillId="0" fontId="20" numFmtId="0" xfId="0" applyAlignment="1" applyFont="1">
      <alignment wrapText="1"/>
    </xf>
    <xf borderId="77" fillId="0" fontId="8" numFmtId="0" xfId="0" applyAlignment="1" applyBorder="1" applyFont="1">
      <alignment horizontal="right"/>
    </xf>
    <xf borderId="78" fillId="0" fontId="4" numFmtId="0" xfId="0" applyBorder="1" applyFont="1"/>
    <xf borderId="79" fillId="0" fontId="4" numFmtId="0" xfId="0" applyAlignment="1" applyBorder="1" applyFont="1">
      <alignment horizontal="right"/>
    </xf>
    <xf borderId="80" fillId="0" fontId="4" numFmtId="0" xfId="0" applyAlignment="1" applyBorder="1" applyFont="1">
      <alignment/>
    </xf>
    <xf borderId="79" fillId="0" fontId="4" numFmtId="0" xfId="0" applyAlignment="1" applyBorder="1" applyFont="1">
      <alignment horizontal="right"/>
    </xf>
    <xf borderId="80" fillId="0" fontId="4" numFmtId="0" xfId="0" applyBorder="1" applyFont="1"/>
    <xf borderId="81" fillId="0" fontId="4" numFmtId="0" xfId="0" applyAlignment="1" applyBorder="1" applyFont="1">
      <alignment horizontal="right"/>
    </xf>
    <xf borderId="82" fillId="0" fontId="4" numFmtId="0" xfId="0" applyAlignment="1" applyBorder="1" applyFont="1">
      <alignment/>
    </xf>
    <xf borderId="0" fillId="21" fontId="4" numFmtId="0" xfId="0" applyFont="1"/>
    <xf borderId="0" fillId="26" fontId="4" numFmtId="0" xfId="0" applyAlignment="1" applyFill="1" applyFont="1">
      <alignment/>
    </xf>
    <xf borderId="0" fillId="26" fontId="4" numFmtId="0" xfId="0" applyAlignment="1" applyFont="1">
      <alignment/>
    </xf>
    <xf borderId="0" fillId="10" fontId="4" numFmtId="0" xfId="0" applyAlignment="1" applyFont="1">
      <alignment/>
    </xf>
    <xf borderId="0" fillId="16" fontId="4" numFmtId="12" xfId="0" applyFont="1" applyNumberFormat="1"/>
    <xf borderId="0" fillId="11" fontId="4" numFmtId="0" xfId="0" applyAlignment="1" applyFont="1">
      <alignment/>
    </xf>
    <xf borderId="0" fillId="16" fontId="4" numFmtId="0" xfId="0" applyFont="1"/>
    <xf borderId="0" fillId="10" fontId="4" numFmtId="0" xfId="0" applyFont="1"/>
    <xf borderId="0" fillId="11" fontId="4" numFmtId="0" xfId="0" applyAlignment="1" applyFont="1">
      <alignment horizontal="right"/>
    </xf>
    <xf borderId="0" fillId="11" fontId="4" numFmtId="0" xfId="0" applyAlignment="1" applyFont="1">
      <alignment/>
    </xf>
    <xf borderId="0" fillId="0" fontId="4" numFmtId="0" xfId="0" applyFont="1"/>
    <xf borderId="0" fillId="22" fontId="4" numFmtId="0" xfId="0" applyFont="1"/>
    <xf borderId="0" fillId="0" fontId="4" numFmtId="12" xfId="0" applyAlignment="1" applyFont="1" applyNumberFormat="1">
      <alignment/>
    </xf>
    <xf borderId="0" fillId="0" fontId="4" numFmtId="0" xfId="0" applyAlignment="1" applyFont="1">
      <alignment/>
    </xf>
    <xf borderId="0" fillId="0" fontId="4" numFmtId="12" xfId="0" applyFont="1" applyNumberFormat="1"/>
    <xf borderId="0" fillId="26" fontId="4" numFmtId="0" xfId="0" applyFont="1"/>
    <xf borderId="0" fillId="0" fontId="4" numFmtId="0" xfId="0" applyAlignment="1" applyFont="1">
      <alignment textRotation="90"/>
    </xf>
    <xf borderId="0" fillId="0" fontId="4" numFmtId="0" xfId="0" applyAlignment="1" applyFont="1">
      <alignment textRotation="90" wrapText="1"/>
    </xf>
    <xf borderId="0" fillId="0" fontId="4" numFmtId="0" xfId="0" applyAlignment="1" applyFont="1">
      <alignment textRotation="90"/>
    </xf>
    <xf borderId="0" fillId="0" fontId="4" numFmtId="0" xfId="0" applyAlignment="1" applyFont="1">
      <alignment textRotation="180"/>
    </xf>
    <xf borderId="0" fillId="17" fontId="4" numFmtId="0" xfId="0" applyFont="1"/>
    <xf borderId="0" fillId="17" fontId="4" numFmtId="12" xfId="0" applyAlignment="1" applyFont="1" applyNumberFormat="1">
      <alignment horizontal="left"/>
    </xf>
    <xf borderId="0" fillId="17" fontId="4" numFmtId="12" xfId="0" applyFont="1" applyNumberFormat="1"/>
    <xf borderId="0" fillId="17" fontId="4" numFmtId="0" xfId="0" applyFont="1"/>
    <xf borderId="0" fillId="17" fontId="4" numFmtId="0" xfId="0" applyAlignment="1" applyFont="1">
      <alignment horizontal="left"/>
    </xf>
    <xf borderId="0" fillId="21" fontId="4" numFmtId="0" xfId="0" applyFont="1"/>
    <xf borderId="0" fillId="21" fontId="46" numFmtId="0" xfId="0" applyAlignment="1" applyFont="1">
      <alignment horizontal="left"/>
    </xf>
    <xf borderId="0" fillId="20" fontId="4" numFmtId="0" xfId="0" applyFont="1"/>
    <xf borderId="0" fillId="0" fontId="28" numFmtId="0" xfId="0" applyAlignment="1" applyFont="1">
      <alignment/>
    </xf>
    <xf borderId="0" fillId="0" fontId="28" numFmtId="0" xfId="0" applyAlignment="1" applyFont="1">
      <alignment horizontal="left" textRotation="90"/>
    </xf>
    <xf borderId="0" fillId="0" fontId="20" numFmtId="0" xfId="0" applyAlignment="1" applyFont="1">
      <alignment horizontal="left"/>
    </xf>
    <xf borderId="0" fillId="0" fontId="28" numFmtId="0" xfId="0" applyAlignment="1" applyFont="1">
      <alignment horizontal="center" textRotation="90" wrapText="1"/>
    </xf>
    <xf borderId="0" fillId="0" fontId="28" numFmtId="0" xfId="0" applyAlignment="1" applyFont="1">
      <alignment horizontal="left" textRotation="90"/>
    </xf>
    <xf borderId="0" fillId="0" fontId="28" numFmtId="0" xfId="0" applyAlignment="1" applyFont="1">
      <alignment horizontal="left" textRotation="90"/>
    </xf>
    <xf borderId="0" fillId="25" fontId="4" numFmtId="0" xfId="0" applyFont="1"/>
    <xf borderId="0" fillId="25" fontId="4" numFmtId="0" xfId="0" applyAlignment="1" applyFont="1">
      <alignment/>
    </xf>
    <xf borderId="0" fillId="0" fontId="20" numFmtId="0" xfId="0" applyFont="1"/>
  </cellXfs>
  <cellStyles count="1">
    <cellStyle xfId="0" name="Normal" builtinId="0"/>
  </cellStyles>
  <dxfs count="19">
    <dxf>
      <font>
        <color rgb="FFFF0000"/>
      </font>
      <fill>
        <patternFill patternType="none"/>
      </fill>
      <alignment/>
      <border>
        <left/>
        <right/>
        <top/>
        <bottom/>
      </border>
    </dxf>
    <dxf>
      <font>
        <color rgb="FFFF9900"/>
      </font>
      <fill>
        <patternFill patternType="none"/>
      </fill>
      <alignment/>
      <border>
        <left/>
        <right/>
        <top/>
        <bottom/>
      </border>
    </dxf>
    <dxf>
      <font>
        <color rgb="FFFF00FF"/>
      </font>
      <fill>
        <patternFill patternType="none"/>
      </fill>
      <alignment/>
      <border>
        <left/>
        <right/>
        <top/>
        <bottom/>
      </border>
    </dxf>
    <dxf>
      <font>
        <color rgb="FF00FFFF"/>
      </font>
      <fill>
        <patternFill patternType="none"/>
      </fill>
      <alignment/>
      <border>
        <left/>
        <right/>
        <top/>
        <bottom/>
      </border>
    </dxf>
    <dxf>
      <font>
        <color rgb="FFFFFFFF"/>
      </font>
      <fill>
        <patternFill patternType="solid">
          <fgColor rgb="FFFF0000"/>
          <bgColor rgb="FFFF0000"/>
        </patternFill>
      </fill>
      <alignment/>
      <border>
        <left/>
        <right/>
        <top/>
        <bottom/>
      </border>
    </dxf>
    <dxf>
      <font/>
      <fill>
        <patternFill patternType="solid">
          <fgColor rgb="FFFFFF00"/>
          <bgColor rgb="FFFFFF00"/>
        </patternFill>
      </fill>
      <alignment/>
      <border>
        <left/>
        <right/>
        <top/>
        <bottom/>
      </border>
    </dxf>
    <dxf>
      <font/>
      <fill>
        <patternFill patternType="solid">
          <fgColor rgb="FF00FF00"/>
          <bgColor rgb="FF00FF00"/>
        </patternFill>
      </fill>
      <alignment/>
      <border>
        <left/>
        <right/>
        <top/>
        <bottom/>
      </border>
    </dxf>
    <dxf>
      <font/>
      <fill>
        <patternFill patternType="solid">
          <fgColor rgb="FFFF9900"/>
          <bgColor rgb="FFFF9900"/>
        </patternFill>
      </fill>
      <alignment/>
      <border>
        <left/>
        <right/>
        <top/>
        <bottom/>
      </border>
    </dxf>
    <dxf>
      <font/>
      <fill>
        <patternFill patternType="solid">
          <fgColor rgb="FF00FFFF"/>
          <bgColor rgb="FF00FFFF"/>
        </patternFill>
      </fill>
      <alignment/>
      <border>
        <left/>
        <right/>
        <top/>
        <bottom/>
      </border>
    </dxf>
    <dxf>
      <font>
        <color rgb="FFFFFF00"/>
      </font>
      <fill>
        <patternFill patternType="none"/>
      </fill>
      <alignment/>
      <border>
        <left/>
        <right/>
        <top/>
        <bottom/>
      </border>
    </dxf>
    <dxf>
      <font>
        <color rgb="FF00FF00"/>
      </font>
      <fill>
        <patternFill patternType="none"/>
      </fill>
      <alignment/>
      <border>
        <left/>
        <right/>
        <top/>
        <bottom/>
      </border>
    </dxf>
    <dxf>
      <font/>
      <fill>
        <patternFill patternType="none"/>
      </fill>
      <alignment/>
      <border>
        <left/>
        <right/>
        <top/>
        <bottom/>
      </border>
    </dxf>
    <dxf>
      <font/>
      <fill>
        <patternFill patternType="solid">
          <fgColor rgb="FF073763"/>
          <bgColor rgb="FF073763"/>
        </patternFill>
      </fill>
      <alignment/>
      <border>
        <left/>
        <right/>
        <top/>
        <bottom/>
      </border>
    </dxf>
    <dxf>
      <font/>
      <fill>
        <patternFill patternType="solid">
          <fgColor rgb="FFFFFFFF"/>
          <bgColor rgb="FFFFFFFF"/>
        </patternFill>
      </fill>
      <alignment/>
      <border>
        <left/>
        <right/>
        <top/>
        <bottom/>
      </border>
    </dxf>
    <dxf>
      <font/>
      <fill>
        <patternFill patternType="solid">
          <fgColor rgb="FFE8F0FE"/>
          <bgColor rgb="FFE8F0FE"/>
        </patternFill>
      </fill>
      <alignment/>
      <border>
        <left/>
        <right/>
        <top/>
        <bottom/>
      </border>
    </dxf>
    <dxf>
      <font/>
      <fill>
        <patternFill patternType="solid">
          <fgColor rgb="FF0B5394"/>
          <bgColor rgb="FF0B5394"/>
        </patternFill>
      </fill>
      <alignment/>
      <border>
        <left/>
        <right/>
        <top/>
        <bottom/>
      </border>
    </dxf>
    <dxf>
      <font/>
      <fill>
        <patternFill patternType="solid">
          <fgColor rgb="FFE0F7FA"/>
          <bgColor rgb="FFE0F7FA"/>
        </patternFill>
      </fill>
      <alignment/>
      <border>
        <left/>
        <right/>
        <top/>
        <bottom/>
      </border>
    </dxf>
    <dxf>
      <font/>
      <fill>
        <patternFill patternType="solid">
          <fgColor rgb="FFCCA677"/>
          <bgColor rgb="FFCCA677"/>
        </patternFill>
      </fill>
      <alignment/>
      <border>
        <left/>
        <right/>
        <top/>
        <bottom/>
      </border>
    </dxf>
    <dxf>
      <font/>
      <fill>
        <patternFill patternType="solid">
          <fgColor rgb="FFF8F2EB"/>
          <bgColor rgb="FFF8F2EB"/>
        </patternFill>
      </fill>
      <alignment/>
      <border>
        <left/>
        <right/>
        <top/>
        <bottom/>
      </border>
    </dxf>
  </dxfs>
  <tableStyles count="20">
    <tableStyle count="3" pivot="0" name="Build-style">
      <tableStyleElement dxfId="12" type="headerRow"/>
      <tableStyleElement dxfId="13" type="firstRowStripe"/>
      <tableStyleElement dxfId="14" type="secondRowStripe"/>
    </tableStyle>
    <tableStyle count="3" pivot="0" name="Build-style 2">
      <tableStyleElement dxfId="12" type="headerRow"/>
      <tableStyleElement dxfId="13" type="firstRowStripe"/>
      <tableStyleElement dxfId="14" type="secondRowStripe"/>
    </tableStyle>
    <tableStyle count="3" pivot="0" name="Build-style 3">
      <tableStyleElement dxfId="12" type="headerRow"/>
      <tableStyleElement dxfId="13" type="firstRowStripe"/>
      <tableStyleElement dxfId="14" type="secondRowStripe"/>
    </tableStyle>
    <tableStyle count="3" pivot="0" name="Build-style 4">
      <tableStyleElement dxfId="12" type="headerRow"/>
      <tableStyleElement dxfId="13" type="firstRowStripe"/>
      <tableStyleElement dxfId="14" type="secondRowStripe"/>
    </tableStyle>
    <tableStyle count="3" pivot="0" name="Build-style 5">
      <tableStyleElement dxfId="12" type="headerRow"/>
      <tableStyleElement dxfId="13" type="firstRowStripe"/>
      <tableStyleElement dxfId="14" type="secondRowStripe"/>
    </tableStyle>
    <tableStyle count="3" pivot="0" name="Build-style 6">
      <tableStyleElement dxfId="12" type="headerRow"/>
      <tableStyleElement dxfId="13" type="firstRowStripe"/>
      <tableStyleElement dxfId="14" type="secondRowStripe"/>
    </tableStyle>
    <tableStyle count="3" pivot="0" name="Build-style 7">
      <tableStyleElement dxfId="12" type="headerRow"/>
      <tableStyleElement dxfId="13" type="firstRowStripe"/>
      <tableStyleElement dxfId="14" type="secondRowStripe"/>
    </tableStyle>
    <tableStyle count="3" pivot="0" name="Build-style 8">
      <tableStyleElement dxfId="12" type="headerRow"/>
      <tableStyleElement dxfId="13" type="firstRowStripe"/>
      <tableStyleElement dxfId="14" type="secondRowStripe"/>
    </tableStyle>
    <tableStyle count="3" pivot="0" name="Build-style 9">
      <tableStyleElement dxfId="12" type="headerRow"/>
      <tableStyleElement dxfId="13" type="firstRowStripe"/>
      <tableStyleElement dxfId="14" type="secondRowStripe"/>
    </tableStyle>
    <tableStyle count="3" pivot="0" name="Build-style 10">
      <tableStyleElement dxfId="12" type="headerRow"/>
      <tableStyleElement dxfId="13" type="firstRowStripe"/>
      <tableStyleElement dxfId="14" type="secondRowStripe"/>
    </tableStyle>
    <tableStyle count="3" pivot="0" name="Build-style 11">
      <tableStyleElement dxfId="12" type="headerRow"/>
      <tableStyleElement dxfId="13" type="firstRowStripe"/>
      <tableStyleElement dxfId="14" type="secondRowStripe"/>
    </tableStyle>
    <tableStyle count="3" pivot="0" name="Build-style 12">
      <tableStyleElement dxfId="12" type="headerRow"/>
      <tableStyleElement dxfId="13" type="firstRowStripe"/>
      <tableStyleElement dxfId="14" type="secondRowStripe"/>
    </tableStyle>
    <tableStyle count="3" pivot="0" name="Build-style 13">
      <tableStyleElement dxfId="12" type="headerRow"/>
      <tableStyleElement dxfId="13" type="firstRowStripe"/>
      <tableStyleElement dxfId="14" type="secondRowStripe"/>
    </tableStyle>
    <tableStyle count="3" pivot="0" name="Build-style 14">
      <tableStyleElement dxfId="12" type="headerRow"/>
      <tableStyleElement dxfId="13" type="firstRowStripe"/>
      <tableStyleElement dxfId="14" type="secondRowStripe"/>
    </tableStyle>
    <tableStyle count="3" pivot="0" name="Build-style 15">
      <tableStyleElement dxfId="12" type="headerRow"/>
      <tableStyleElement dxfId="13" type="firstRowStripe"/>
      <tableStyleElement dxfId="14" type="secondRowStripe"/>
    </tableStyle>
    <tableStyle count="3" pivot="0" name="Build-style 16">
      <tableStyleElement dxfId="12" type="headerRow"/>
      <tableStyleElement dxfId="13" type="firstRowStripe"/>
      <tableStyleElement dxfId="14" type="secondRowStripe"/>
    </tableStyle>
    <tableStyle count="3" pivot="0" name="Build-style 17">
      <tableStyleElement dxfId="12" type="headerRow"/>
      <tableStyleElement dxfId="13" type="firstRowStripe"/>
      <tableStyleElement dxfId="14" type="secondRowStripe"/>
    </tableStyle>
    <tableStyle count="3" pivot="0" name="Example MakesModels-style">
      <tableStyleElement dxfId="15" type="headerRow"/>
      <tableStyleElement dxfId="13" type="firstRowStripe"/>
      <tableStyleElement dxfId="16" type="secondRowStripe"/>
    </tableStyle>
    <tableStyle count="3" pivot="0" name="Version History-style">
      <tableStyleElement dxfId="17" type="headerRow"/>
      <tableStyleElement dxfId="13" type="firstRowStripe"/>
      <tableStyleElement dxfId="18" type="secondRowStripe"/>
    </tableStyle>
    <tableStyle count="3" pivot="0" name="TO DO-style">
      <tableStyleElement dxfId="17" type="headerRow"/>
      <tableStyleElement dxfId="13" type="firstRowStripe"/>
      <tableStyleElement dxfId="18" type="secondRowStrip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8.xml"/><Relationship Id="rId22" Type="http://schemas.openxmlformats.org/officeDocument/2006/relationships/worksheet" Target="worksheets/sheet20.xml"/><Relationship Id="rId21" Type="http://schemas.openxmlformats.org/officeDocument/2006/relationships/worksheet" Target="worksheets/sheet19.xml"/><Relationship Id="rId24" Type="http://schemas.openxmlformats.org/officeDocument/2006/relationships/worksheet" Target="worksheets/sheet22.xml"/><Relationship Id="rId23" Type="http://schemas.openxmlformats.org/officeDocument/2006/relationships/worksheet" Target="worksheets/sheet21.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26" Type="http://schemas.openxmlformats.org/officeDocument/2006/relationships/worksheet" Target="worksheets/sheet24.xml"/><Relationship Id="rId25" Type="http://schemas.openxmlformats.org/officeDocument/2006/relationships/worksheet" Target="worksheets/sheet23.xml"/><Relationship Id="rId27" Type="http://schemas.openxmlformats.org/officeDocument/2006/relationships/worksheet" Target="worksheets/sheet25.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5" Type="http://schemas.openxmlformats.org/officeDocument/2006/relationships/worksheet" Target="worksheets/sheet13.xml"/><Relationship Id="rId14" Type="http://schemas.openxmlformats.org/officeDocument/2006/relationships/worksheet" Target="worksheets/sheet12.xml"/><Relationship Id="rId17" Type="http://schemas.openxmlformats.org/officeDocument/2006/relationships/worksheet" Target="worksheets/sheet15.xml"/><Relationship Id="rId16" Type="http://schemas.openxmlformats.org/officeDocument/2006/relationships/worksheet" Target="worksheets/sheet14.xml"/><Relationship Id="rId19" Type="http://schemas.openxmlformats.org/officeDocument/2006/relationships/worksheet" Target="worksheets/sheet17.xml"/><Relationship Id="rId18" Type="http://schemas.openxmlformats.org/officeDocument/2006/relationships/worksheet" Target="worksheets/sheet16.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3</xdr:col>
      <xdr:colOff>552450</xdr:colOff>
      <xdr:row>3</xdr:row>
      <xdr:rowOff>47625</xdr:rowOff>
    </xdr:from>
    <xdr:to>
      <xdr:col>3</xdr:col>
      <xdr:colOff>1924050</xdr:colOff>
      <xdr:row>3</xdr:row>
      <xdr:rowOff>390525</xdr:rowOff>
    </xdr:to>
    <xdr:sp>
      <xdr:nvSpPr>
        <xdr:cNvPr id="3" name="Shape 3"/>
        <xdr:cNvSpPr/>
      </xdr:nvSpPr>
      <xdr:spPr>
        <a:xfrm>
          <a:off x="2085975" y="828675"/>
          <a:ext cx="1657200" cy="399900"/>
        </a:xfrm>
        <a:prstGeom prst="snip2DiagRect">
          <a:avLst>
            <a:gd fmla="val 0" name="adj1"/>
            <a:gd fmla="val 16667" name="adj2"/>
          </a:avLst>
        </a:prstGeom>
        <a:solidFill>
          <a:srgbClr val="4A86E8"/>
        </a:solidFill>
        <a:ln cap="flat" cmpd="sng" w="38100">
          <a:solidFill>
            <a:srgbClr val="EFEFEF"/>
          </a:solidFill>
          <a:prstDash val="lgDashDot"/>
          <a:round/>
          <a:headEnd len="med" w="med" type="none"/>
          <a:tailEnd len="med" w="med" type="none"/>
        </a:ln>
      </xdr:spPr>
      <xdr:txBody>
        <a:bodyPr anchorCtr="0" anchor="ctr" bIns="91425" lIns="91425" rIns="91425" wrap="square" tIns="91425">
          <a:noAutofit/>
        </a:bodyPr>
        <a:lstStyle/>
        <a:p>
          <a:pPr lvl="0" algn="ctr">
            <a:spcBef>
              <a:spcPts val="0"/>
            </a:spcBef>
            <a:buNone/>
          </a:pPr>
          <a:r>
            <a:rPr b="1" lang="en-US" sz="1800">
              <a:solidFill>
                <a:srgbClr val="FFFFFF"/>
              </a:solidFill>
              <a:latin typeface="Jura"/>
              <a:ea typeface="Jura"/>
              <a:cs typeface="Jura"/>
              <a:sym typeface="Jura"/>
            </a:rPr>
            <a:t>RESET</a:t>
          </a:r>
        </a:p>
      </xdr:txBody>
    </xdr:sp>
    <xdr:clientData fLocksWithSheet="0"/>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twoCellAnchor>
    <xdr:from>
      <xdr:col>10</xdr:col>
      <xdr:colOff>47625</xdr:colOff>
      <xdr:row>3</xdr:row>
      <xdr:rowOff>114300</xdr:rowOff>
    </xdr:from>
    <xdr:to>
      <xdr:col>23</xdr:col>
      <xdr:colOff>114300</xdr:colOff>
      <xdr:row>16</xdr:row>
      <xdr:rowOff>209550</xdr:rowOff>
    </xdr:to>
    <xdr:grpSp>
      <xdr:nvGrpSpPr>
        <xdr:cNvPr id="2" name="Shape 2" title="Drawing"/>
        <xdr:cNvGrpSpPr/>
      </xdr:nvGrpSpPr>
      <xdr:grpSpPr>
        <a:xfrm>
          <a:off x="681849" y="686100"/>
          <a:ext cx="6265851" cy="4348500"/>
          <a:chOff x="681849" y="686100"/>
          <a:chExt cx="6265851" cy="4348500"/>
        </a:xfrm>
      </xdr:grpSpPr>
      <xdr:sp>
        <xdr:nvSpPr>
          <xdr:cNvPr id="4" name="Shape 4"/>
          <xdr:cNvSpPr/>
        </xdr:nvSpPr>
        <xdr:spPr>
          <a:xfrm>
            <a:off x="2581350" y="362475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5" name="Shape 5"/>
          <xdr:cNvSpPr/>
        </xdr:nvSpPr>
        <xdr:spPr>
          <a:xfrm>
            <a:off x="3514800" y="260175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6" name="Shape 6"/>
          <xdr:cNvSpPr/>
        </xdr:nvSpPr>
        <xdr:spPr>
          <a:xfrm>
            <a:off x="3514800" y="209025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7" name="Shape 7"/>
          <xdr:cNvSpPr/>
        </xdr:nvSpPr>
        <xdr:spPr>
          <a:xfrm>
            <a:off x="3514800" y="311325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8" name="Shape 8"/>
          <xdr:cNvSpPr/>
        </xdr:nvSpPr>
        <xdr:spPr>
          <a:xfrm>
            <a:off x="3514800" y="157875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9" name="Shape 9"/>
          <xdr:cNvSpPr/>
        </xdr:nvSpPr>
        <xdr:spPr>
          <a:xfrm>
            <a:off x="3514800" y="362475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10" name="Shape 10"/>
          <xdr:cNvSpPr/>
        </xdr:nvSpPr>
        <xdr:spPr>
          <a:xfrm>
            <a:off x="3981525" y="285892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11" name="Shape 11"/>
          <xdr:cNvSpPr/>
        </xdr:nvSpPr>
        <xdr:spPr>
          <a:xfrm>
            <a:off x="3981525" y="234742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12" name="Shape 12"/>
          <xdr:cNvSpPr/>
        </xdr:nvSpPr>
        <xdr:spPr>
          <a:xfrm>
            <a:off x="3981525" y="3370425"/>
            <a:ext cx="590400" cy="511500"/>
          </a:xfrm>
          <a:prstGeom prst="hexagon">
            <a:avLst>
              <a:gd fmla="val 25000" name="adj"/>
              <a:gd fmla="val 115470" name="vf"/>
            </a:avLst>
          </a:prstGeom>
          <a:solidFill>
            <a:srgbClr val="C9DAF8"/>
          </a:solid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13" name="Shape 13"/>
          <xdr:cNvSpPr/>
        </xdr:nvSpPr>
        <xdr:spPr>
          <a:xfrm>
            <a:off x="3981525" y="1835925"/>
            <a:ext cx="590400" cy="511500"/>
          </a:xfrm>
          <a:prstGeom prst="hexagon">
            <a:avLst>
              <a:gd fmla="val 25000" name="adj"/>
              <a:gd fmla="val 115470" name="vf"/>
            </a:avLst>
          </a:prstGeom>
          <a:solidFill>
            <a:srgbClr val="C9DAF8"/>
          </a:solid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14" name="Shape 14"/>
          <xdr:cNvSpPr/>
        </xdr:nvSpPr>
        <xdr:spPr>
          <a:xfrm>
            <a:off x="4448250" y="311610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15" name="Shape 15"/>
          <xdr:cNvSpPr/>
        </xdr:nvSpPr>
        <xdr:spPr>
          <a:xfrm>
            <a:off x="4448250" y="260460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16" name="Shape 16"/>
          <xdr:cNvSpPr/>
        </xdr:nvSpPr>
        <xdr:spPr>
          <a:xfrm>
            <a:off x="4448250" y="209310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17" name="Shape 17"/>
          <xdr:cNvSpPr/>
        </xdr:nvSpPr>
        <xdr:spPr>
          <a:xfrm>
            <a:off x="3050456" y="285892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18" name="Shape 18"/>
          <xdr:cNvSpPr/>
        </xdr:nvSpPr>
        <xdr:spPr>
          <a:xfrm>
            <a:off x="3050456" y="234742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19" name="Shape 19"/>
          <xdr:cNvSpPr/>
        </xdr:nvSpPr>
        <xdr:spPr>
          <a:xfrm>
            <a:off x="3050456" y="3370425"/>
            <a:ext cx="590400" cy="511500"/>
          </a:xfrm>
          <a:prstGeom prst="hexagon">
            <a:avLst>
              <a:gd fmla="val 25000" name="adj"/>
              <a:gd fmla="val 115470" name="vf"/>
            </a:avLst>
          </a:prstGeom>
          <a:solidFill>
            <a:srgbClr val="C9DAF8"/>
          </a:solid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20" name="Shape 20"/>
          <xdr:cNvSpPr/>
        </xdr:nvSpPr>
        <xdr:spPr>
          <a:xfrm>
            <a:off x="3050456" y="1835925"/>
            <a:ext cx="590400" cy="511500"/>
          </a:xfrm>
          <a:prstGeom prst="hexagon">
            <a:avLst>
              <a:gd fmla="val 25000" name="adj"/>
              <a:gd fmla="val 115470" name="vf"/>
            </a:avLst>
          </a:prstGeom>
          <a:solidFill>
            <a:srgbClr val="C9DAF8"/>
          </a:solid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21" name="Shape 21"/>
          <xdr:cNvSpPr/>
        </xdr:nvSpPr>
        <xdr:spPr>
          <a:xfrm>
            <a:off x="2590875" y="311610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22" name="Shape 22"/>
          <xdr:cNvSpPr/>
        </xdr:nvSpPr>
        <xdr:spPr>
          <a:xfrm>
            <a:off x="2590875" y="260460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23" name="Shape 23"/>
          <xdr:cNvSpPr/>
        </xdr:nvSpPr>
        <xdr:spPr>
          <a:xfrm>
            <a:off x="2590875" y="209310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24" name="Shape 24"/>
          <xdr:cNvSpPr/>
        </xdr:nvSpPr>
        <xdr:spPr>
          <a:xfrm>
            <a:off x="3514800" y="107010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25" name="Shape 25"/>
          <xdr:cNvSpPr/>
        </xdr:nvSpPr>
        <xdr:spPr>
          <a:xfrm>
            <a:off x="3981525" y="388477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26" name="Shape 26"/>
          <xdr:cNvSpPr/>
        </xdr:nvSpPr>
        <xdr:spPr>
          <a:xfrm>
            <a:off x="4448250" y="362475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27" name="Shape 27"/>
          <xdr:cNvSpPr/>
        </xdr:nvSpPr>
        <xdr:spPr>
          <a:xfrm>
            <a:off x="4912600" y="337042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28" name="Shape 28"/>
          <xdr:cNvSpPr/>
        </xdr:nvSpPr>
        <xdr:spPr>
          <a:xfrm>
            <a:off x="4912600" y="285892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29" name="Shape 29"/>
          <xdr:cNvSpPr/>
        </xdr:nvSpPr>
        <xdr:spPr>
          <a:xfrm>
            <a:off x="4912600" y="234742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30" name="Shape 30"/>
          <xdr:cNvSpPr/>
        </xdr:nvSpPr>
        <xdr:spPr>
          <a:xfrm>
            <a:off x="4912600" y="183877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31" name="Shape 31"/>
          <xdr:cNvSpPr/>
        </xdr:nvSpPr>
        <xdr:spPr>
          <a:xfrm>
            <a:off x="4448250" y="157875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32" name="Shape 32"/>
          <xdr:cNvSpPr/>
        </xdr:nvSpPr>
        <xdr:spPr>
          <a:xfrm>
            <a:off x="3981525" y="132157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33" name="Shape 33"/>
          <xdr:cNvSpPr/>
        </xdr:nvSpPr>
        <xdr:spPr>
          <a:xfrm>
            <a:off x="3514800" y="413910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34" name="Shape 34"/>
          <xdr:cNvSpPr/>
        </xdr:nvSpPr>
        <xdr:spPr>
          <a:xfrm>
            <a:off x="3050450" y="388477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35" name="Shape 35"/>
          <xdr:cNvSpPr/>
        </xdr:nvSpPr>
        <xdr:spPr>
          <a:xfrm>
            <a:off x="2119375" y="337042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36" name="Shape 36"/>
          <xdr:cNvSpPr/>
        </xdr:nvSpPr>
        <xdr:spPr>
          <a:xfrm>
            <a:off x="2119375" y="285892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37" name="Shape 37"/>
          <xdr:cNvSpPr/>
        </xdr:nvSpPr>
        <xdr:spPr>
          <a:xfrm>
            <a:off x="2119375" y="234742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38" name="Shape 38"/>
          <xdr:cNvSpPr/>
        </xdr:nvSpPr>
        <xdr:spPr>
          <a:xfrm>
            <a:off x="2119375" y="183877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39" name="Shape 39"/>
          <xdr:cNvSpPr/>
        </xdr:nvSpPr>
        <xdr:spPr>
          <a:xfrm>
            <a:off x="2590875" y="1578750"/>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40" name="Shape 40"/>
          <xdr:cNvSpPr/>
        </xdr:nvSpPr>
        <xdr:spPr>
          <a:xfrm>
            <a:off x="3050450" y="1321575"/>
            <a:ext cx="590400" cy="511500"/>
          </a:xfrm>
          <a:prstGeom prst="hexagon">
            <a:avLst>
              <a:gd fmla="val 25000" name="adj"/>
              <a:gd fmla="val 115470" name="vf"/>
            </a:avLst>
          </a:prstGeom>
          <a:noFill/>
          <a:ln cap="flat" cmpd="sng" w="9525">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grpSp>
        <xdr:nvGrpSpPr>
          <xdr:cNvPr id="41" name="Shape 41"/>
          <xdr:cNvGrpSpPr/>
        </xdr:nvGrpSpPr>
        <xdr:grpSpPr>
          <a:xfrm>
            <a:off x="3697903" y="2634362"/>
            <a:ext cx="226572" cy="446274"/>
            <a:chOff x="5641125" y="971550"/>
            <a:chExt cx="237000" cy="399959"/>
          </a:xfrm>
        </xdr:grpSpPr>
        <xdr:sp>
          <xdr:nvSpPr>
            <xdr:cNvPr id="42" name="Shape 42"/>
            <xdr:cNvSpPr/>
          </xdr:nvSpPr>
          <xdr:spPr>
            <a:xfrm>
              <a:off x="5702190" y="1261709"/>
              <a:ext cx="79200" cy="109800"/>
            </a:xfrm>
            <a:prstGeom prst="diagStripe">
              <a:avLst>
                <a:gd fmla="val 50000" name="adj"/>
              </a:avLst>
            </a:prstGeom>
            <a:solidFill>
              <a:srgbClr val="00FFFF"/>
            </a:solidFill>
            <a:ln>
              <a:noFill/>
            </a:ln>
          </xdr:spPr>
          <xdr:txBody>
            <a:bodyPr anchorCtr="0" anchor="ctr" bIns="91425" lIns="91425" rIns="91425" wrap="square" tIns="91425">
              <a:noAutofit/>
            </a:bodyPr>
            <a:lstStyle/>
            <a:p>
              <a:pPr lvl="0">
                <a:spcBef>
                  <a:spcPts val="0"/>
                </a:spcBef>
                <a:buNone/>
              </a:pPr>
              <a:r>
                <a:t/>
              </a:r>
              <a:endParaRPr sz="1400"/>
            </a:p>
          </xdr:txBody>
        </xdr:sp>
        <xdr:sp>
          <xdr:nvSpPr>
            <xdr:cNvPr id="43" name="Shape 43"/>
            <xdr:cNvSpPr/>
          </xdr:nvSpPr>
          <xdr:spPr>
            <a:xfrm flipH="1">
              <a:off x="5737785" y="1261709"/>
              <a:ext cx="79200" cy="109800"/>
            </a:xfrm>
            <a:prstGeom prst="diagStripe">
              <a:avLst>
                <a:gd fmla="val 50000" name="adj"/>
              </a:avLst>
            </a:prstGeom>
            <a:solidFill>
              <a:srgbClr val="00FFFF"/>
            </a:solidFill>
            <a:ln>
              <a:noFill/>
            </a:ln>
          </xdr:spPr>
          <xdr:txBody>
            <a:bodyPr anchorCtr="0" anchor="ctr" bIns="91425" lIns="91425" rIns="91425" wrap="square" tIns="91425">
              <a:noAutofit/>
            </a:bodyPr>
            <a:lstStyle/>
            <a:p>
              <a:pPr lvl="0">
                <a:spcBef>
                  <a:spcPts val="0"/>
                </a:spcBef>
                <a:buNone/>
              </a:pPr>
              <a:r>
                <a:t/>
              </a:r>
              <a:endParaRPr sz="1400"/>
            </a:p>
          </xdr:txBody>
        </xdr:sp>
        <xdr:sp>
          <xdr:nvSpPr>
            <xdr:cNvPr id="44" name="Shape 44"/>
            <xdr:cNvSpPr/>
          </xdr:nvSpPr>
          <xdr:spPr>
            <a:xfrm>
              <a:off x="5702190" y="1117782"/>
              <a:ext cx="114795" cy="167423"/>
            </a:xfrm>
            <a:prstGeom prst="flowChartManualOperation">
              <a:avLst/>
            </a:prstGeom>
            <a:solidFill>
              <a:srgbClr val="00FFFF"/>
            </a:solidFill>
            <a:ln>
              <a:noFill/>
            </a:ln>
          </xdr:spPr>
          <xdr:txBody>
            <a:bodyPr anchorCtr="0" anchor="ctr" bIns="91425" lIns="91425" rIns="91425" wrap="square" tIns="91425">
              <a:noAutofit/>
            </a:bodyPr>
            <a:lstStyle/>
            <a:p>
              <a:pPr lvl="0">
                <a:spcBef>
                  <a:spcPts val="0"/>
                </a:spcBef>
                <a:buNone/>
              </a:pPr>
              <a:r>
                <a:t/>
              </a:r>
              <a:endParaRPr sz="1400"/>
            </a:p>
          </xdr:txBody>
        </xdr:sp>
        <xdr:sp>
          <xdr:nvSpPr>
            <xdr:cNvPr id="45" name="Shape 45"/>
            <xdr:cNvSpPr/>
          </xdr:nvSpPr>
          <xdr:spPr>
            <a:xfrm rot="-5400000">
              <a:off x="5693325" y="1065610"/>
              <a:ext cx="132600" cy="237000"/>
            </a:xfrm>
            <a:prstGeom prst="moon">
              <a:avLst>
                <a:gd fmla="val 50000" name="adj"/>
              </a:avLst>
            </a:prstGeom>
            <a:solidFill>
              <a:srgbClr val="00FFFF"/>
            </a:solidFill>
            <a:ln>
              <a:noFill/>
            </a:ln>
          </xdr:spPr>
          <xdr:txBody>
            <a:bodyPr anchorCtr="0" anchor="ctr" bIns="91425" lIns="91425" rIns="91425" wrap="square" tIns="91425">
              <a:noAutofit/>
            </a:bodyPr>
            <a:lstStyle/>
            <a:p>
              <a:pPr lvl="0">
                <a:spcBef>
                  <a:spcPts val="0"/>
                </a:spcBef>
                <a:buNone/>
              </a:pPr>
              <a:r>
                <a:t/>
              </a:r>
              <a:endParaRPr sz="1400"/>
            </a:p>
          </xdr:txBody>
        </xdr:sp>
        <xdr:sp>
          <xdr:nvSpPr>
            <xdr:cNvPr id="46" name="Shape 46"/>
            <xdr:cNvSpPr/>
          </xdr:nvSpPr>
          <xdr:spPr>
            <a:xfrm>
              <a:off x="5702190" y="971550"/>
              <a:ext cx="114900" cy="167400"/>
            </a:xfrm>
            <a:prstGeom prst="triangle">
              <a:avLst>
                <a:gd fmla="val 50000" name="adj"/>
              </a:avLst>
            </a:prstGeom>
            <a:solidFill>
              <a:srgbClr val="00FFFF"/>
            </a:solidFill>
            <a:ln>
              <a:noFill/>
            </a:ln>
          </xdr:spPr>
          <xdr:txBody>
            <a:bodyPr anchorCtr="0" anchor="ctr" bIns="91425" lIns="91425" rIns="91425" wrap="square" tIns="91425">
              <a:noAutofit/>
            </a:bodyPr>
            <a:lstStyle/>
            <a:p>
              <a:pPr lvl="0">
                <a:spcBef>
                  <a:spcPts val="0"/>
                </a:spcBef>
                <a:buNone/>
              </a:pPr>
              <a:r>
                <a:t/>
              </a:r>
              <a:endParaRPr sz="1400"/>
            </a:p>
          </xdr:txBody>
        </xdr:sp>
      </xdr:grpSp>
      <xdr:cxnSp>
        <xdr:nvCxnSpPr>
          <xdr:cNvPr id="47" name="Shape 47"/>
          <xdr:cNvCxnSpPr>
            <a:stCxn id="11" idx="3"/>
            <a:endCxn id="32" idx="0"/>
          </xdr:cNvCxnSpPr>
        </xdr:nvCxnSpPr>
        <xdr:spPr>
          <a:xfrm flipH="1" rot="10800000">
            <a:off x="3981525" y="1577175"/>
            <a:ext cx="590400" cy="1026000"/>
          </a:xfrm>
          <a:prstGeom prst="straightConnector1">
            <a:avLst/>
          </a:prstGeom>
          <a:noFill/>
          <a:ln cap="flat" cmpd="sng" w="9525">
            <a:solidFill>
              <a:srgbClr val="000000"/>
            </a:solidFill>
            <a:prstDash val="solid"/>
            <a:round/>
            <a:headEnd len="lg" w="lg" type="none"/>
            <a:tailEnd len="lg" w="lg" type="none"/>
          </a:ln>
        </xdr:spPr>
      </xdr:cxnSp>
      <xdr:cxnSp>
        <xdr:nvCxnSpPr>
          <xdr:cNvPr id="48" name="Shape 48"/>
          <xdr:cNvCxnSpPr>
            <a:stCxn id="18" idx="0"/>
            <a:endCxn id="40" idx="3"/>
          </xdr:cNvCxnSpPr>
        </xdr:nvCxnSpPr>
        <xdr:spPr>
          <a:xfrm rot="10800000">
            <a:off x="3050456" y="1577175"/>
            <a:ext cx="590400" cy="1026000"/>
          </a:xfrm>
          <a:prstGeom prst="straightConnector1">
            <a:avLst/>
          </a:prstGeom>
          <a:noFill/>
          <a:ln cap="flat" cmpd="sng" w="9525">
            <a:solidFill>
              <a:srgbClr val="000000"/>
            </a:solidFill>
            <a:prstDash val="solid"/>
            <a:round/>
            <a:headEnd len="lg" w="lg" type="none"/>
            <a:tailEnd len="lg" w="lg" type="none"/>
          </a:ln>
        </xdr:spPr>
      </xdr:cxnSp>
      <xdr:cxnSp>
        <xdr:nvCxnSpPr>
          <xdr:cNvPr id="49" name="Shape 49"/>
          <xdr:cNvCxnSpPr>
            <a:stCxn id="10" idx="3"/>
            <a:endCxn id="26" idx="2"/>
          </xdr:cNvCxnSpPr>
        </xdr:nvCxnSpPr>
        <xdr:spPr>
          <a:xfrm>
            <a:off x="3981525" y="3114675"/>
            <a:ext cx="594600" cy="1021500"/>
          </a:xfrm>
          <a:prstGeom prst="straightConnector1">
            <a:avLst/>
          </a:prstGeom>
          <a:noFill/>
          <a:ln cap="flat" cmpd="sng" w="9525">
            <a:solidFill>
              <a:srgbClr val="000000"/>
            </a:solidFill>
            <a:prstDash val="solid"/>
            <a:round/>
            <a:headEnd len="lg" w="lg" type="none"/>
            <a:tailEnd len="lg" w="lg" type="none"/>
          </a:ln>
        </xdr:spPr>
      </xdr:cxnSp>
      <xdr:cxnSp>
        <xdr:nvCxnSpPr>
          <xdr:cNvPr id="50" name="Shape 50"/>
          <xdr:cNvCxnSpPr>
            <a:stCxn id="17" idx="0"/>
            <a:endCxn id="4" idx="1"/>
          </xdr:cNvCxnSpPr>
        </xdr:nvCxnSpPr>
        <xdr:spPr>
          <a:xfrm flipH="1">
            <a:off x="3043856" y="3114675"/>
            <a:ext cx="597000" cy="1021500"/>
          </a:xfrm>
          <a:prstGeom prst="straightConnector1">
            <a:avLst/>
          </a:prstGeom>
          <a:noFill/>
          <a:ln cap="flat" cmpd="sng" w="9525">
            <a:solidFill>
              <a:srgbClr val="000000"/>
            </a:solidFill>
            <a:prstDash val="solid"/>
            <a:round/>
            <a:headEnd len="lg" w="lg" type="none"/>
            <a:tailEnd len="lg" w="lg" type="none"/>
          </a:ln>
        </xdr:spPr>
      </xdr:cxnSp>
      <xdr:sp>
        <xdr:nvSpPr>
          <xdr:cNvPr id="51" name="Shape 51"/>
          <xdr:cNvSpPr txBox="1"/>
        </xdr:nvSpPr>
        <xdr:spPr>
          <a:xfrm>
            <a:off x="2605050" y="2692950"/>
            <a:ext cx="566700" cy="334800"/>
          </a:xfrm>
          <a:prstGeom prst="rect">
            <a:avLst/>
          </a:prstGeom>
          <a:noFill/>
          <a:ln>
            <a:noFill/>
          </a:ln>
        </xdr:spPr>
        <xdr:txBody>
          <a:bodyPr anchorCtr="0" anchor="t" bIns="91425" lIns="91425" rIns="91425" wrap="square" tIns="91425">
            <a:noAutofit/>
          </a:bodyPr>
          <a:lstStyle/>
          <a:p>
            <a:pPr lvl="0" rtl="0" algn="ctr">
              <a:spcBef>
                <a:spcPts val="0"/>
              </a:spcBef>
              <a:buNone/>
            </a:pPr>
            <a:r>
              <a:rPr b="1" lang="en-US" sz="800">
                <a:latin typeface="Jura"/>
                <a:ea typeface="Jura"/>
                <a:cs typeface="Jura"/>
                <a:sym typeface="Jura"/>
              </a:rPr>
              <a:t>PORT</a:t>
            </a:r>
          </a:p>
          <a:p>
            <a:pPr lvl="0" algn="ctr">
              <a:spcBef>
                <a:spcPts val="0"/>
              </a:spcBef>
              <a:buNone/>
            </a:pPr>
            <a:r>
              <a:rPr b="1" lang="en-US" sz="800">
                <a:latin typeface="Jura"/>
                <a:ea typeface="Jura"/>
                <a:cs typeface="Jura"/>
                <a:sym typeface="Jura"/>
              </a:rPr>
              <a:t>ARC</a:t>
            </a:r>
          </a:p>
        </xdr:txBody>
      </xdr:sp>
      <xdr:sp>
        <xdr:nvSpPr>
          <xdr:cNvPr id="52" name="Shape 52"/>
          <xdr:cNvSpPr txBox="1"/>
        </xdr:nvSpPr>
        <xdr:spPr>
          <a:xfrm>
            <a:off x="3401668" y="1668525"/>
            <a:ext cx="826200" cy="334800"/>
          </a:xfrm>
          <a:prstGeom prst="rect">
            <a:avLst/>
          </a:prstGeom>
          <a:noFill/>
          <a:ln>
            <a:noFill/>
          </a:ln>
        </xdr:spPr>
        <xdr:txBody>
          <a:bodyPr anchorCtr="0" anchor="t" bIns="91425" lIns="91425" rIns="91425" wrap="square" tIns="91425">
            <a:noAutofit/>
          </a:bodyPr>
          <a:lstStyle/>
          <a:p>
            <a:pPr lvl="0" rtl="0" algn="ctr">
              <a:spcBef>
                <a:spcPts val="0"/>
              </a:spcBef>
              <a:buNone/>
            </a:pPr>
            <a:r>
              <a:rPr b="1" lang="en-US" sz="800">
                <a:latin typeface="Jura"/>
                <a:ea typeface="Jura"/>
                <a:cs typeface="Jura"/>
                <a:sym typeface="Jura"/>
              </a:rPr>
              <a:t>FORWARD</a:t>
            </a:r>
          </a:p>
          <a:p>
            <a:pPr lvl="0" rtl="0" algn="ctr">
              <a:spcBef>
                <a:spcPts val="0"/>
              </a:spcBef>
              <a:buNone/>
            </a:pPr>
            <a:r>
              <a:rPr b="1" lang="en-US" sz="800">
                <a:latin typeface="Jura"/>
                <a:ea typeface="Jura"/>
                <a:cs typeface="Jura"/>
                <a:sym typeface="Jura"/>
              </a:rPr>
              <a:t>ARC</a:t>
            </a:r>
          </a:p>
        </xdr:txBody>
      </xdr:sp>
      <xdr:sp>
        <xdr:nvSpPr>
          <xdr:cNvPr id="53" name="Shape 53"/>
          <xdr:cNvSpPr txBox="1"/>
        </xdr:nvSpPr>
        <xdr:spPr>
          <a:xfrm>
            <a:off x="3526650" y="3740700"/>
            <a:ext cx="566700" cy="334800"/>
          </a:xfrm>
          <a:prstGeom prst="rect">
            <a:avLst/>
          </a:prstGeom>
          <a:noFill/>
          <a:ln>
            <a:noFill/>
          </a:ln>
        </xdr:spPr>
        <xdr:txBody>
          <a:bodyPr anchorCtr="0" anchor="t" bIns="91425" lIns="91425" rIns="91425" wrap="square" tIns="91425">
            <a:noAutofit/>
          </a:bodyPr>
          <a:lstStyle/>
          <a:p>
            <a:pPr lvl="0" rtl="0" algn="ctr">
              <a:spcBef>
                <a:spcPts val="0"/>
              </a:spcBef>
              <a:buNone/>
            </a:pPr>
            <a:r>
              <a:rPr b="1" lang="en-US" sz="800">
                <a:latin typeface="Jura"/>
                <a:ea typeface="Jura"/>
                <a:cs typeface="Jura"/>
                <a:sym typeface="Jura"/>
              </a:rPr>
              <a:t>AFT</a:t>
            </a:r>
          </a:p>
          <a:p>
            <a:pPr lvl="0" rtl="0" algn="ctr">
              <a:spcBef>
                <a:spcPts val="0"/>
              </a:spcBef>
              <a:buNone/>
            </a:pPr>
            <a:r>
              <a:rPr b="1" lang="en-US" sz="800">
                <a:latin typeface="Jura"/>
                <a:ea typeface="Jura"/>
                <a:cs typeface="Jura"/>
                <a:sym typeface="Jura"/>
              </a:rPr>
              <a:t>ARC</a:t>
            </a:r>
          </a:p>
        </xdr:txBody>
      </xdr:sp>
      <xdr:sp>
        <xdr:nvSpPr>
          <xdr:cNvPr id="54" name="Shape 54"/>
          <xdr:cNvSpPr txBox="1"/>
        </xdr:nvSpPr>
        <xdr:spPr>
          <a:xfrm>
            <a:off x="4219500" y="2691525"/>
            <a:ext cx="1047900" cy="334800"/>
          </a:xfrm>
          <a:prstGeom prst="rect">
            <a:avLst/>
          </a:prstGeom>
          <a:noFill/>
          <a:ln>
            <a:noFill/>
          </a:ln>
        </xdr:spPr>
        <xdr:txBody>
          <a:bodyPr anchorCtr="0" anchor="t" bIns="91425" lIns="91425" rIns="91425" wrap="square" tIns="91425">
            <a:noAutofit/>
          </a:bodyPr>
          <a:lstStyle/>
          <a:p>
            <a:pPr lvl="0" rtl="0" algn="ctr">
              <a:spcBef>
                <a:spcPts val="0"/>
              </a:spcBef>
              <a:buNone/>
            </a:pPr>
            <a:r>
              <a:rPr b="1" lang="en-US" sz="800">
                <a:latin typeface="Jura"/>
                <a:ea typeface="Jura"/>
                <a:cs typeface="Jura"/>
                <a:sym typeface="Jura"/>
              </a:rPr>
              <a:t>STARBOARD</a:t>
            </a:r>
          </a:p>
          <a:p>
            <a:pPr lvl="0" rtl="0" algn="ctr">
              <a:spcBef>
                <a:spcPts val="0"/>
              </a:spcBef>
              <a:buNone/>
            </a:pPr>
            <a:r>
              <a:rPr b="1" lang="en-US" sz="800">
                <a:latin typeface="Jura"/>
                <a:ea typeface="Jura"/>
                <a:cs typeface="Jura"/>
                <a:sym typeface="Jura"/>
              </a:rPr>
              <a:t>ARC</a:t>
            </a:r>
          </a:p>
        </xdr:txBody>
      </xdr:sp>
      <xdr:sp>
        <xdr:nvSpPr>
          <xdr:cNvPr id="55" name="Shape 55"/>
          <xdr:cNvSpPr/>
        </xdr:nvSpPr>
        <xdr:spPr>
          <a:xfrm>
            <a:off x="2268900" y="1304850"/>
            <a:ext cx="3082200" cy="3105300"/>
          </a:xfrm>
          <a:prstGeom prst="ellipse">
            <a:avLst/>
          </a:prstGeom>
          <a:noFill/>
          <a:ln cap="flat" cmpd="sng" w="38100">
            <a:solidFill>
              <a:srgbClr val="3D85C6"/>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56" name="Shape 56"/>
          <xdr:cNvSpPr/>
        </xdr:nvSpPr>
        <xdr:spPr>
          <a:xfrm>
            <a:off x="2139900" y="1174650"/>
            <a:ext cx="3340200" cy="3365700"/>
          </a:xfrm>
          <a:prstGeom prst="ellipse">
            <a:avLst/>
          </a:prstGeom>
          <a:noFill/>
          <a:ln cap="flat" cmpd="sng" w="38100">
            <a:solidFill>
              <a:srgbClr val="3D85C6"/>
            </a:solidFill>
            <a:prstDash val="lgDashDot"/>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57" name="Shape 57"/>
          <xdr:cNvSpPr/>
        </xdr:nvSpPr>
        <xdr:spPr>
          <a:xfrm>
            <a:off x="2086350" y="1120650"/>
            <a:ext cx="3447300" cy="3473700"/>
          </a:xfrm>
          <a:prstGeom prst="ellipse">
            <a:avLst/>
          </a:prstGeom>
          <a:noFill/>
          <a:ln cap="flat" cmpd="sng" w="38100">
            <a:solidFill>
              <a:srgbClr val="3D85C6"/>
            </a:solidFill>
            <a:prstDash val="lgDash"/>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58" name="Shape 58"/>
          <xdr:cNvSpPr/>
        </xdr:nvSpPr>
        <xdr:spPr>
          <a:xfrm>
            <a:off x="2183700" y="1218900"/>
            <a:ext cx="3252600" cy="3277200"/>
          </a:xfrm>
          <a:prstGeom prst="ellipse">
            <a:avLst/>
          </a:prstGeom>
          <a:noFill/>
          <a:ln cap="flat" cmpd="sng" w="38100">
            <a:solidFill>
              <a:srgbClr val="CFE2F3"/>
            </a:solidFill>
            <a:prstDash val="solid"/>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59" name="Shape 59"/>
          <xdr:cNvSpPr/>
        </xdr:nvSpPr>
        <xdr:spPr>
          <a:xfrm>
            <a:off x="2034600" y="1068450"/>
            <a:ext cx="3550800" cy="3578100"/>
          </a:xfrm>
          <a:prstGeom prst="ellipse">
            <a:avLst/>
          </a:prstGeom>
          <a:noFill/>
          <a:ln cap="flat" cmpd="sng" w="38100">
            <a:solidFill>
              <a:srgbClr val="B7B7B7"/>
            </a:solidFill>
            <a:prstDash val="dash"/>
            <a:round/>
            <a:headEnd len="med" w="med" type="none"/>
            <a:tailEnd len="med" w="med" type="none"/>
          </a:ln>
        </xdr:spPr>
        <xdr:txBody>
          <a:bodyPr anchorCtr="0" anchor="ctr" bIns="91425" lIns="91425" rIns="91425" wrap="square" tIns="91425">
            <a:noAutofit/>
          </a:bodyPr>
          <a:lstStyle/>
          <a:p>
            <a:pPr lvl="0">
              <a:spcBef>
                <a:spcPts val="0"/>
              </a:spcBef>
              <a:buNone/>
            </a:pPr>
            <a:r>
              <a:t/>
            </a:r>
            <a:endParaRPr sz="1400"/>
          </a:p>
        </xdr:txBody>
      </xdr:sp>
      <xdr:sp>
        <xdr:nvSpPr>
          <xdr:cNvPr id="60" name="Shape 60"/>
          <xdr:cNvSpPr/>
        </xdr:nvSpPr>
        <xdr:spPr>
          <a:xfrm>
            <a:off x="2268900" y="686100"/>
            <a:ext cx="3082200" cy="1288200"/>
          </a:xfrm>
          <a:prstGeom prst="blockArc">
            <a:avLst>
              <a:gd fmla="val 10800000" name="adj1"/>
              <a:gd fmla="val 19926" name="adj2"/>
              <a:gd fmla="val 29849" name="adj3"/>
            </a:avLst>
          </a:prstGeom>
          <a:solidFill>
            <a:srgbClr val="D0E0E3"/>
          </a:solidFill>
          <a:ln cap="flat" cmpd="sng" w="38100">
            <a:solidFill>
              <a:srgbClr val="4A86E8"/>
            </a:solidFill>
            <a:prstDash val="solid"/>
            <a:round/>
            <a:headEnd len="med" w="med" type="none"/>
            <a:tailEnd len="med" w="med" type="none"/>
          </a:ln>
        </xdr:spPr>
        <xdr:txBody>
          <a:bodyPr anchorCtr="0" anchor="t" bIns="91425" lIns="91425" rIns="91425" wrap="square" tIns="91425">
            <a:noAutofit/>
          </a:bodyPr>
          <a:lstStyle/>
          <a:p>
            <a:pPr lvl="0" algn="ctr">
              <a:spcBef>
                <a:spcPts val="0"/>
              </a:spcBef>
              <a:buNone/>
            </a:pPr>
            <a:r>
              <a:rPr b="1" lang="en-US" sz="1100">
                <a:latin typeface="Jura"/>
                <a:ea typeface="Jura"/>
                <a:cs typeface="Jura"/>
                <a:sym typeface="Jura"/>
              </a:rPr>
              <a:t>FORWARD SHIELDS</a:t>
            </a:r>
          </a:p>
        </xdr:txBody>
      </xdr:sp>
      <xdr:sp>
        <xdr:nvSpPr>
          <xdr:cNvPr id="61" name="Shape 61"/>
          <xdr:cNvSpPr/>
        </xdr:nvSpPr>
        <xdr:spPr>
          <a:xfrm rot="5400000">
            <a:off x="3865500" y="2213400"/>
            <a:ext cx="3082200" cy="1288200"/>
          </a:xfrm>
          <a:prstGeom prst="blockArc">
            <a:avLst>
              <a:gd fmla="val 10800000" name="adj1"/>
              <a:gd fmla="val 19926" name="adj2"/>
              <a:gd fmla="val 29849" name="adj3"/>
            </a:avLst>
          </a:prstGeom>
          <a:solidFill>
            <a:srgbClr val="D0E0E3"/>
          </a:solidFill>
          <a:ln cap="flat" cmpd="sng" w="38100">
            <a:solidFill>
              <a:srgbClr val="4A86E8"/>
            </a:solidFill>
            <a:prstDash val="solid"/>
            <a:round/>
            <a:headEnd len="med" w="med" type="none"/>
            <a:tailEnd len="med" w="med" type="none"/>
          </a:ln>
        </xdr:spPr>
        <xdr:txBody>
          <a:bodyPr anchorCtr="0" anchor="t" bIns="91425" lIns="91425" rIns="91425" wrap="square" tIns="91425">
            <a:noAutofit/>
          </a:bodyPr>
          <a:lstStyle/>
          <a:p>
            <a:pPr lvl="0" rtl="0" algn="ctr">
              <a:spcBef>
                <a:spcPts val="0"/>
              </a:spcBef>
              <a:buNone/>
            </a:pPr>
            <a:r>
              <a:rPr b="1" lang="en-US" sz="1100">
                <a:latin typeface="Jura"/>
                <a:ea typeface="Jura"/>
                <a:cs typeface="Jura"/>
                <a:sym typeface="Jura"/>
              </a:rPr>
              <a:t>STARBOARD</a:t>
            </a:r>
            <a:r>
              <a:rPr b="1" lang="en-US" sz="1100">
                <a:latin typeface="Jura"/>
                <a:ea typeface="Jura"/>
                <a:cs typeface="Jura"/>
                <a:sym typeface="Jura"/>
              </a:rPr>
              <a:t> SHIELDS</a:t>
            </a:r>
          </a:p>
        </xdr:txBody>
      </xdr:sp>
      <xdr:sp>
        <xdr:nvSpPr>
          <xdr:cNvPr id="62" name="Shape 62"/>
          <xdr:cNvSpPr/>
        </xdr:nvSpPr>
        <xdr:spPr>
          <a:xfrm rot="-5400000">
            <a:off x="681849" y="2213400"/>
            <a:ext cx="3082200" cy="1288200"/>
          </a:xfrm>
          <a:prstGeom prst="blockArc">
            <a:avLst>
              <a:gd fmla="val 10800000" name="adj1"/>
              <a:gd fmla="val 19926" name="adj2"/>
              <a:gd fmla="val 29849" name="adj3"/>
            </a:avLst>
          </a:prstGeom>
          <a:solidFill>
            <a:srgbClr val="D0E0E3"/>
          </a:solidFill>
          <a:ln cap="flat" cmpd="sng" w="38100">
            <a:solidFill>
              <a:srgbClr val="4A86E8"/>
            </a:solidFill>
            <a:prstDash val="solid"/>
            <a:round/>
            <a:headEnd len="med" w="med" type="none"/>
            <a:tailEnd len="med" w="med" type="none"/>
          </a:ln>
        </xdr:spPr>
        <xdr:txBody>
          <a:bodyPr anchorCtr="0" anchor="t" bIns="91425" lIns="91425" rIns="91425" wrap="square" tIns="91425">
            <a:noAutofit/>
          </a:bodyPr>
          <a:lstStyle/>
          <a:p>
            <a:pPr lvl="0" rtl="0" algn="ctr">
              <a:spcBef>
                <a:spcPts val="0"/>
              </a:spcBef>
              <a:buNone/>
            </a:pPr>
            <a:r>
              <a:rPr b="1" lang="en-US" sz="1100">
                <a:latin typeface="Jura"/>
                <a:ea typeface="Jura"/>
                <a:cs typeface="Jura"/>
                <a:sym typeface="Jura"/>
              </a:rPr>
              <a:t>PORT</a:t>
            </a:r>
            <a:r>
              <a:rPr b="1" lang="en-US" sz="1100">
                <a:latin typeface="Jura"/>
                <a:ea typeface="Jura"/>
                <a:cs typeface="Jura"/>
                <a:sym typeface="Jura"/>
              </a:rPr>
              <a:t> SHIELDS</a:t>
            </a:r>
          </a:p>
        </xdr:txBody>
      </xdr:sp>
      <xdr:sp>
        <xdr:nvSpPr>
          <xdr:cNvPr id="63" name="Shape 63"/>
          <xdr:cNvSpPr/>
        </xdr:nvSpPr>
        <xdr:spPr>
          <a:xfrm rot="10800000">
            <a:off x="2273675" y="3746400"/>
            <a:ext cx="3082200" cy="1288200"/>
          </a:xfrm>
          <a:prstGeom prst="blockArc">
            <a:avLst>
              <a:gd fmla="val 10800000" name="adj1"/>
              <a:gd fmla="val 19926" name="adj2"/>
              <a:gd fmla="val 29849" name="adj3"/>
            </a:avLst>
          </a:prstGeom>
          <a:solidFill>
            <a:srgbClr val="D0E0E3"/>
          </a:solidFill>
          <a:ln cap="flat" cmpd="sng" w="38100">
            <a:solidFill>
              <a:srgbClr val="4A86E8"/>
            </a:solidFill>
            <a:prstDash val="solid"/>
            <a:round/>
            <a:headEnd len="med" w="med" type="none"/>
            <a:tailEnd len="med" w="med" type="none"/>
          </a:ln>
        </xdr:spPr>
        <xdr:txBody>
          <a:bodyPr anchorCtr="0" anchor="t" bIns="91425" lIns="91425" rIns="91425" wrap="square" tIns="91425">
            <a:noAutofit/>
          </a:bodyPr>
          <a:lstStyle/>
          <a:p>
            <a:pPr lvl="0" rtl="0" algn="ctr">
              <a:spcBef>
                <a:spcPts val="0"/>
              </a:spcBef>
              <a:buNone/>
            </a:pPr>
            <a:r>
              <a:t/>
            </a:r>
            <a:endParaRPr b="1" sz="1100">
              <a:latin typeface="Jura"/>
              <a:ea typeface="Jura"/>
              <a:cs typeface="Jura"/>
              <a:sym typeface="Jura"/>
            </a:endParaRPr>
          </a:p>
        </xdr:txBody>
      </xdr:sp>
      <xdr:sp>
        <xdr:nvSpPr>
          <xdr:cNvPr id="64" name="Shape 64"/>
          <xdr:cNvSpPr txBox="1"/>
        </xdr:nvSpPr>
        <xdr:spPr>
          <a:xfrm>
            <a:off x="2857500" y="4653450"/>
            <a:ext cx="1905000" cy="334800"/>
          </a:xfrm>
          <a:prstGeom prst="rect">
            <a:avLst/>
          </a:prstGeom>
          <a:noFill/>
          <a:ln>
            <a:noFill/>
          </a:ln>
        </xdr:spPr>
        <xdr:txBody>
          <a:bodyPr anchorCtr="0" anchor="t" bIns="91425" lIns="91425" rIns="91425" wrap="square" tIns="91425">
            <a:noAutofit/>
          </a:bodyPr>
          <a:lstStyle/>
          <a:p>
            <a:pPr lvl="0" rtl="0" algn="ctr">
              <a:spcBef>
                <a:spcPts val="0"/>
              </a:spcBef>
              <a:buNone/>
            </a:pPr>
            <a:r>
              <a:rPr b="1" lang="en-US" sz="1100">
                <a:latin typeface="Jura"/>
                <a:ea typeface="Jura"/>
                <a:cs typeface="Jura"/>
                <a:sym typeface="Jura"/>
              </a:rPr>
              <a:t>AFT SHIELDS</a:t>
            </a:r>
          </a:p>
        </xdr:txBody>
      </xdr:sp>
    </xdr:grpSp>
    <xdr:clientData fLocksWithSheet="0"/>
  </xdr:twoCellAnchor>
  <xdr:twoCellAnchor>
    <xdr:from>
      <xdr:col>26</xdr:col>
      <xdr:colOff>76200</xdr:colOff>
      <xdr:row>0</xdr:row>
      <xdr:rowOff>123825</xdr:rowOff>
    </xdr:from>
    <xdr:to>
      <xdr:col>32</xdr:col>
      <xdr:colOff>66675</xdr:colOff>
      <xdr:row>1</xdr:row>
      <xdr:rowOff>133350</xdr:rowOff>
    </xdr:to>
    <xdr:pic>
      <xdr:nvPicPr>
        <xdr:cNvPr id="0" name="image1.png" title="Image"/>
        <xdr:cNvPicPr preferRelativeResize="0"/>
      </xdr:nvPicPr>
      <xdr:blipFill>
        <a:blip cstate="print" r:embed="rId1"/>
        <a:stretch>
          <a:fillRect/>
        </a:stretch>
      </xdr:blipFill>
      <xdr:spPr>
        <a:xfrm>
          <a:ext cx="1762125" cy="295275"/>
        </a:xfrm>
        <a:prstGeom prst="rect">
          <a:avLst/>
        </a:prstGeom>
        <a:noFill/>
      </xdr:spPr>
    </xdr:pic>
    <xdr:clientData fLocksWithSheet="0"/>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tables/table1.xml><?xml version="1.0" encoding="utf-8"?>
<table xmlns="http://schemas.openxmlformats.org/spreadsheetml/2006/main" headerRowCount="0" ref="F36:I37" displayName="Table_1" id="1">
  <tableColumns count="4">
    <tableColumn name="Column1" id="1"/>
    <tableColumn name="Column2" id="2"/>
    <tableColumn name="Column3" id="3"/>
    <tableColumn name="Column4" id="4"/>
  </tableColumns>
  <tableStyleInfo name="Build-style" showColumnStripes="0" showFirstColumn="1" showLastColumn="1" showRowStripes="1"/>
</table>
</file>

<file path=xl/tables/table10.xml><?xml version="1.0" encoding="utf-8"?>
<table xmlns="http://schemas.openxmlformats.org/spreadsheetml/2006/main" headerRowCount="0" ref="F32:I34" displayName="Table_10" id="10">
  <tableColumns count="4">
    <tableColumn name="Column1" id="1"/>
    <tableColumn name="Column2" id="2"/>
    <tableColumn name="Column3" id="3"/>
    <tableColumn name="Column4" id="4"/>
  </tableColumns>
  <tableStyleInfo name="Build-style 10" showColumnStripes="0" showFirstColumn="1" showLastColumn="1" showRowStripes="1"/>
</table>
</file>

<file path=xl/tables/table11.xml><?xml version="1.0" encoding="utf-8"?>
<table xmlns="http://schemas.openxmlformats.org/spreadsheetml/2006/main" headerRowCount="0" ref="F60:I80" displayName="Table_11" id="11">
  <tableColumns count="4">
    <tableColumn name="Column1" id="1"/>
    <tableColumn name="Column2" id="2"/>
    <tableColumn name="Column3" id="3"/>
    <tableColumn name="Column4" id="4"/>
  </tableColumns>
  <tableStyleInfo name="Build-style 11" showColumnStripes="0" showFirstColumn="1" showLastColumn="1" showRowStripes="1"/>
</table>
</file>

<file path=xl/tables/table12.xml><?xml version="1.0" encoding="utf-8"?>
<table xmlns="http://schemas.openxmlformats.org/spreadsheetml/2006/main" headerRowCount="0" ref="F29:I31" displayName="Table_12" id="12">
  <tableColumns count="4">
    <tableColumn name="Column1" id="1"/>
    <tableColumn name="Column2" id="2"/>
    <tableColumn name="Column3" id="3"/>
    <tableColumn name="Column4" id="4"/>
  </tableColumns>
  <tableStyleInfo name="Build-style 12" showColumnStripes="0" showFirstColumn="1" showLastColumn="1" showRowStripes="1"/>
</table>
</file>

<file path=xl/tables/table13.xml><?xml version="1.0" encoding="utf-8"?>
<table xmlns="http://schemas.openxmlformats.org/spreadsheetml/2006/main" headerRowCount="0" ref="F5:I7" displayName="Table_13" id="13">
  <tableColumns count="4">
    <tableColumn name="Column1" id="1"/>
    <tableColumn name="Column2" id="2"/>
    <tableColumn name="Column3" id="3"/>
    <tableColumn name="Column4" id="4"/>
  </tableColumns>
  <tableStyleInfo name="Build-style 13" showColumnStripes="0" showFirstColumn="1" showLastColumn="1" showRowStripes="1"/>
</table>
</file>

<file path=xl/tables/table14.xml><?xml version="1.0" encoding="utf-8"?>
<table xmlns="http://schemas.openxmlformats.org/spreadsheetml/2006/main" headerRowCount="0" ref="F8:I8" displayName="Table_14" id="14">
  <tableColumns count="4">
    <tableColumn name="Column1" id="1"/>
    <tableColumn name="Column2" id="2"/>
    <tableColumn name="Column3" id="3"/>
    <tableColumn name="Column4" id="4"/>
  </tableColumns>
  <tableStyleInfo name="Build-style 14" showColumnStripes="0" showFirstColumn="1" showLastColumn="1" showRowStripes="1"/>
</table>
</file>

<file path=xl/tables/table15.xml><?xml version="1.0" encoding="utf-8"?>
<table xmlns="http://schemas.openxmlformats.org/spreadsheetml/2006/main" headerRowCount="0" ref="F57:I59" displayName="Table_15" id="15">
  <tableColumns count="4">
    <tableColumn name="Column1" id="1"/>
    <tableColumn name="Column2" id="2"/>
    <tableColumn name="Column3" id="3"/>
    <tableColumn name="Column4" id="4"/>
  </tableColumns>
  <tableStyleInfo name="Build-style 15" showColumnStripes="0" showFirstColumn="1" showLastColumn="1" showRowStripes="1"/>
</table>
</file>

<file path=xl/tables/table16.xml><?xml version="1.0" encoding="utf-8"?>
<table xmlns="http://schemas.openxmlformats.org/spreadsheetml/2006/main" headerRowCount="0" ref="F28:I28" displayName="Table_16" id="16">
  <tableColumns count="4">
    <tableColumn name="Column1" id="1"/>
    <tableColumn name="Column2" id="2"/>
    <tableColumn name="Column3" id="3"/>
    <tableColumn name="Column4" id="4"/>
  </tableColumns>
  <tableStyleInfo name="Build-style 16" showColumnStripes="0" showFirstColumn="1" showLastColumn="1" showRowStripes="1"/>
</table>
</file>

<file path=xl/tables/table17.xml><?xml version="1.0" encoding="utf-8"?>
<table xmlns="http://schemas.openxmlformats.org/spreadsheetml/2006/main" headerRowCount="0" ref="F9:I20" displayName="Table_17" id="17">
  <tableColumns count="4">
    <tableColumn name="Column1" id="1"/>
    <tableColumn name="Column2" id="2"/>
    <tableColumn name="Column3" id="3"/>
    <tableColumn name="Column4" id="4"/>
  </tableColumns>
  <tableStyleInfo name="Build-style 17" showColumnStripes="0" showFirstColumn="1" showLastColumn="1" showRowStripes="1"/>
</table>
</file>

<file path=xl/tables/table18.xml><?xml version="1.0" encoding="utf-8"?>
<table xmlns="http://schemas.openxmlformats.org/spreadsheetml/2006/main" ref="A1:D29" displayName="Table_18" id="18">
  <tableColumns count="4">
    <tableColumn name="MAKE" id="1"/>
    <tableColumn name="MODEL" id="2"/>
    <tableColumn name="FRAME" id="3"/>
    <tableColumn name="RACE" id="4"/>
  </tableColumns>
  <tableStyleInfo name="Example MakesModels-style" showColumnStripes="0" showFirstColumn="1" showLastColumn="1" showRowStripes="1"/>
</table>
</file>

<file path=xl/tables/table19.xml><?xml version="1.0" encoding="utf-8"?>
<table xmlns="http://schemas.openxmlformats.org/spreadsheetml/2006/main" ref="A1:C16" displayName="Table_19" id="19">
  <tableColumns count="3">
    <tableColumn name="VERSION" id="1"/>
    <tableColumn name="DATE" id="2"/>
    <tableColumn name="NOTES" id="3"/>
  </tableColumns>
  <tableStyleInfo name="Version History-style" showColumnStripes="0" showFirstColumn="1" showLastColumn="1" showRowStripes="1"/>
</table>
</file>

<file path=xl/tables/table2.xml><?xml version="1.0" encoding="utf-8"?>
<table xmlns="http://schemas.openxmlformats.org/spreadsheetml/2006/main" headerRowCount="0" ref="F35:I35" displayName="Table_2" id="2">
  <tableColumns count="4">
    <tableColumn name="Column1" id="1"/>
    <tableColumn name="Column2" id="2"/>
    <tableColumn name="Column3" id="3"/>
    <tableColumn name="Column4" id="4"/>
  </tableColumns>
  <tableStyleInfo name="Build-style 2" showColumnStripes="0" showFirstColumn="1" showLastColumn="1" showRowStripes="1"/>
</table>
</file>

<file path=xl/tables/table20.xml><?xml version="1.0" encoding="utf-8"?>
<table xmlns="http://schemas.openxmlformats.org/spreadsheetml/2006/main" ref="A1:A12" displayName="Table_20" id="20">
  <tableColumns count="1">
    <tableColumn name="TO DO" id="1"/>
  </tableColumns>
  <tableStyleInfo name="TO DO-style" showColumnStripes="0" showFirstColumn="1" showLastColumn="1" showRowStripes="1"/>
</table>
</file>

<file path=xl/tables/table3.xml><?xml version="1.0" encoding="utf-8"?>
<table xmlns="http://schemas.openxmlformats.org/spreadsheetml/2006/main" headerRowCount="0" ref="F46:J53" displayName="Table_3" id="3">
  <tableColumns count="5">
    <tableColumn name="Column1" id="1"/>
    <tableColumn name="Column2" id="2"/>
    <tableColumn name="Column3" id="3"/>
    <tableColumn name="Column4" id="4"/>
    <tableColumn name="Column5" id="5"/>
  </tableColumns>
  <tableStyleInfo name="Build-style 3" showColumnStripes="0" showFirstColumn="1" showLastColumn="1" showRowStripes="1"/>
</table>
</file>

<file path=xl/tables/table4.xml><?xml version="1.0" encoding="utf-8"?>
<table xmlns="http://schemas.openxmlformats.org/spreadsheetml/2006/main" headerRowCount="0" ref="F54:I56" displayName="Table_4" id="4">
  <tableColumns count="4">
    <tableColumn name="Column1" id="1"/>
    <tableColumn name="Column2" id="2"/>
    <tableColumn name="Column3" id="3"/>
    <tableColumn name="Column4" id="4"/>
  </tableColumns>
  <tableStyleInfo name="Build-style 4" showColumnStripes="0" showFirstColumn="1" showLastColumn="1" showRowStripes="1"/>
</table>
</file>

<file path=xl/tables/table5.xml><?xml version="1.0" encoding="utf-8"?>
<table xmlns="http://schemas.openxmlformats.org/spreadsheetml/2006/main" headerRowCount="0" ref="F81:N106" displayName="Table_5" id="5">
  <tableColumns count="9">
    <tableColumn name="Column1" id="1"/>
    <tableColumn name="Column2" id="2"/>
    <tableColumn name="Column3" id="3"/>
    <tableColumn name="Column4" id="4"/>
    <tableColumn name="upgrade cost" id="5"/>
    <tableColumn name="linkage cost" id="6"/>
    <tableColumn name="link test for data val." id="7"/>
    <tableColumn name="arraytest for linking arrays" id="8"/>
    <tableColumn name="showing weapons for the stablock" id="9"/>
  </tableColumns>
  <tableStyleInfo name="Build-style 5" showColumnStripes="0" showFirstColumn="1" showLastColumn="1" showRowStripes="1"/>
</table>
</file>

<file path=xl/tables/table6.xml><?xml version="1.0" encoding="utf-8"?>
<table xmlns="http://schemas.openxmlformats.org/spreadsheetml/2006/main" headerRowCount="0" ref="F21:I24" displayName="Table_6" id="6">
  <tableColumns count="4">
    <tableColumn name="Column1" id="1"/>
    <tableColumn name="Column2" id="2"/>
    <tableColumn name="Column3" id="3"/>
    <tableColumn name="Column4" id="4"/>
  </tableColumns>
  <tableStyleInfo name="Build-style 6" showColumnStripes="0" showFirstColumn="1" showLastColumn="1" showRowStripes="1"/>
</table>
</file>

<file path=xl/tables/table7.xml><?xml version="1.0" encoding="utf-8"?>
<table xmlns="http://schemas.openxmlformats.org/spreadsheetml/2006/main" headerRowCount="0" ref="F25:I27" displayName="Table_7" id="7">
  <tableColumns count="4">
    <tableColumn name="Column1" id="1"/>
    <tableColumn name="Column2" id="2"/>
    <tableColumn name="Column3" id="3"/>
    <tableColumn name="Column4" id="4"/>
  </tableColumns>
  <tableStyleInfo name="Build-style 7" showColumnStripes="0" showFirstColumn="1" showLastColumn="1" showRowStripes="1"/>
</table>
</file>

<file path=xl/tables/table8.xml><?xml version="1.0" encoding="utf-8"?>
<table xmlns="http://schemas.openxmlformats.org/spreadsheetml/2006/main" headerRowCount="0" ref="F41:J45" displayName="Table_8" id="8">
  <tableColumns count="5">
    <tableColumn name="Column1" id="1"/>
    <tableColumn name="Column2" id="2"/>
    <tableColumn name="Column3" id="3"/>
    <tableColumn name="Column4" id="4"/>
    <tableColumn name="Column5" id="5"/>
  </tableColumns>
  <tableStyleInfo name="Build-style 8" showColumnStripes="0" showFirstColumn="1" showLastColumn="1" showRowStripes="1"/>
</table>
</file>

<file path=xl/tables/table9.xml><?xml version="1.0" encoding="utf-8"?>
<table xmlns="http://schemas.openxmlformats.org/spreadsheetml/2006/main" headerRowCount="0" ref="F38:I40" displayName="Table_9" id="9">
  <tableColumns count="4">
    <tableColumn name="Column1" id="1"/>
    <tableColumn name="Column2" id="2"/>
    <tableColumn name="Column3" id="3"/>
    <tableColumn name="Column4" id="4"/>
  </tableColumns>
  <tableStyleInfo name="Build-style 9" showColumnStripes="0" showFirstColumn="1" showLastColumn="1" showRowStripes="1"/>
</tabl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10.xml"/><Relationship Id="rId3"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11.xml"/><Relationship Id="rId3"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1" Type="http://schemas.openxmlformats.org/officeDocument/2006/relationships/comments" Target="../comments9.xml"/><Relationship Id="rId2" Type="http://schemas.openxmlformats.org/officeDocument/2006/relationships/drawing" Target="../drawings/drawing12.xml"/><Relationship Id="rId3" Type="http://schemas.openxmlformats.org/officeDocument/2006/relationships/vmlDrawing" Target="../drawings/vmlDrawing9.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10.xml"/><Relationship Id="rId2" Type="http://schemas.openxmlformats.org/officeDocument/2006/relationships/drawing" Target="../drawings/drawing13.xml"/><Relationship Id="rId3"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1" Type="http://schemas.openxmlformats.org/officeDocument/2006/relationships/comments" Target="../comments11.xml"/><Relationship Id="rId2" Type="http://schemas.openxmlformats.org/officeDocument/2006/relationships/drawing" Target="../drawings/drawing14.xml"/><Relationship Id="rId3" Type="http://schemas.openxmlformats.org/officeDocument/2006/relationships/vmlDrawing" Target="../drawings/vmlDrawing11.vml"/></Relationships>
</file>

<file path=xl/worksheets/_rels/sheet15.xml.rels><?xml version="1.0" encoding="UTF-8" standalone="yes"?><Relationships xmlns="http://schemas.openxmlformats.org/package/2006/relationships"><Relationship Id="rId1" Type="http://schemas.openxmlformats.org/officeDocument/2006/relationships/comments" Target="../comments12.xml"/><Relationship Id="rId2" Type="http://schemas.openxmlformats.org/officeDocument/2006/relationships/drawing" Target="../drawings/drawing15.xml"/><Relationship Id="rId3" Type="http://schemas.openxmlformats.org/officeDocument/2006/relationships/vmlDrawing" Target="../drawings/vmlDrawing12.vml"/></Relationships>
</file>

<file path=xl/worksheets/_rels/sheet16.xml.rels><?xml version="1.0" encoding="UTF-8" standalone="yes"?><Relationships xmlns="http://schemas.openxmlformats.org/package/2006/relationships"><Relationship Id="rId1" Type="http://schemas.openxmlformats.org/officeDocument/2006/relationships/comments" Target="../comments13.xml"/><Relationship Id="rId2" Type="http://schemas.openxmlformats.org/officeDocument/2006/relationships/drawing" Target="../drawings/drawing16.xml"/><Relationship Id="rId3"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1" Type="http://schemas.openxmlformats.org/officeDocument/2006/relationships/comments" Target="../comments14.xml"/><Relationship Id="rId2" Type="http://schemas.openxmlformats.org/officeDocument/2006/relationships/drawing" Target="../drawings/drawing17.xml"/><Relationship Id="rId3"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1" Type="http://schemas.openxmlformats.org/officeDocument/2006/relationships/comments" Target="../comments15.xml"/><Relationship Id="rId2" Type="http://schemas.openxmlformats.org/officeDocument/2006/relationships/drawing" Target="../drawings/drawing18.xml"/><Relationship Id="rId3"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1" Type="http://schemas.openxmlformats.org/officeDocument/2006/relationships/comments" Target="../comments16.xml"/><Relationship Id="rId2" Type="http://schemas.openxmlformats.org/officeDocument/2006/relationships/drawing" Target="../drawings/drawing19.xml"/><Relationship Id="rId3"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20" Type="http://schemas.openxmlformats.org/officeDocument/2006/relationships/table" Target="../tables/table2.xml"/><Relationship Id="rId31" Type="http://schemas.openxmlformats.org/officeDocument/2006/relationships/table" Target="../tables/table13.xml"/><Relationship Id="rId30" Type="http://schemas.openxmlformats.org/officeDocument/2006/relationships/table" Target="../tables/table12.xml"/><Relationship Id="rId22" Type="http://schemas.openxmlformats.org/officeDocument/2006/relationships/table" Target="../tables/table4.xml"/><Relationship Id="rId33" Type="http://schemas.openxmlformats.org/officeDocument/2006/relationships/table" Target="../tables/table15.xml"/><Relationship Id="rId21" Type="http://schemas.openxmlformats.org/officeDocument/2006/relationships/table" Target="../tables/table3.xml"/><Relationship Id="rId32" Type="http://schemas.openxmlformats.org/officeDocument/2006/relationships/table" Target="../tables/table14.xml"/><Relationship Id="rId24" Type="http://schemas.openxmlformats.org/officeDocument/2006/relationships/table" Target="../tables/table6.xml"/><Relationship Id="rId35" Type="http://schemas.openxmlformats.org/officeDocument/2006/relationships/table" Target="../tables/table17.xml"/><Relationship Id="rId23" Type="http://schemas.openxmlformats.org/officeDocument/2006/relationships/table" Target="../tables/table5.xml"/><Relationship Id="rId34" Type="http://schemas.openxmlformats.org/officeDocument/2006/relationships/table" Target="../tables/table16.xml"/><Relationship Id="rId1" Type="http://schemas.openxmlformats.org/officeDocument/2006/relationships/drawing" Target="../drawings/drawing2.xml"/><Relationship Id="rId26" Type="http://schemas.openxmlformats.org/officeDocument/2006/relationships/table" Target="../tables/table8.xml"/><Relationship Id="rId25" Type="http://schemas.openxmlformats.org/officeDocument/2006/relationships/table" Target="../tables/table7.xml"/><Relationship Id="rId28" Type="http://schemas.openxmlformats.org/officeDocument/2006/relationships/table" Target="../tables/table10.xml"/><Relationship Id="rId27" Type="http://schemas.openxmlformats.org/officeDocument/2006/relationships/table" Target="../tables/table9.xml"/><Relationship Id="rId19" Type="http://schemas.openxmlformats.org/officeDocument/2006/relationships/table" Target="../tables/table1.xml"/><Relationship Id="rId29" Type="http://schemas.openxmlformats.org/officeDocument/2006/relationships/table" Target="../tables/table11.xml"/></Relationships>
</file>

<file path=xl/worksheets/_rels/sheet20.xml.rels><?xml version="1.0" encoding="UTF-8" standalone="yes"?><Relationships xmlns="http://schemas.openxmlformats.org/package/2006/relationships"><Relationship Id="rId1" Type="http://schemas.openxmlformats.org/officeDocument/2006/relationships/comments" Target="../comments17.xml"/><Relationship Id="rId2" Type="http://schemas.openxmlformats.org/officeDocument/2006/relationships/drawing" Target="../drawings/drawing20.xml"/><Relationship Id="rId3" Type="http://schemas.openxmlformats.org/officeDocument/2006/relationships/vmlDrawing" Target="../drawings/vmlDrawing17.vml"/></Relationships>
</file>

<file path=xl/worksheets/_rels/sheet21.xml.rels><?xml version="1.0" encoding="UTF-8" standalone="yes"?><Relationships xmlns="http://schemas.openxmlformats.org/package/2006/relationships"><Relationship Id="rId1" Type="http://schemas.openxmlformats.org/officeDocument/2006/relationships/comments" Target="../comments18.xml"/><Relationship Id="rId2" Type="http://schemas.openxmlformats.org/officeDocument/2006/relationships/drawing" Target="../drawings/drawing21.xml"/><Relationship Id="rId3" Type="http://schemas.openxmlformats.org/officeDocument/2006/relationships/vmlDrawing" Target="../drawings/vmlDrawing18.vml"/></Relationships>
</file>

<file path=xl/worksheets/_rels/sheet22.xml.rels><?xml version="1.0" encoding="UTF-8" standalone="yes"?><Relationships xmlns="http://schemas.openxmlformats.org/package/2006/relationships"><Relationship Id="rId1" Type="http://schemas.openxmlformats.org/officeDocument/2006/relationships/comments" Target="../comments19.xml"/><Relationship Id="rId2" Type="http://schemas.openxmlformats.org/officeDocument/2006/relationships/drawing" Target="../drawings/drawing22.xml"/><Relationship Id="rId3" Type="http://schemas.openxmlformats.org/officeDocument/2006/relationships/vmlDrawing" Target="../drawings/vmlDrawing19.v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 Id="rId3" Type="http://schemas.openxmlformats.org/officeDocument/2006/relationships/table" Target="../tables/table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 Id="rId3" Type="http://schemas.openxmlformats.org/officeDocument/2006/relationships/table" Target="../tables/table1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 Id="rId3" Type="http://schemas.openxmlformats.org/officeDocument/2006/relationships/table" Target="../tables/table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4.xml"/><Relationship Id="rId3"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7.xml"/><Relationship Id="rId3"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8.xml"/><Relationship Id="rId3"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9.xml"/><Relationship Id="rId3"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3D85C6"/>
  </sheetPr>
  <sheetViews>
    <sheetView workbookViewId="0">
      <pane ySplit="1.0" topLeftCell="A2" activePane="bottomLeft" state="frozen"/>
      <selection activeCell="B3" sqref="B3" pane="bottomLeft"/>
    </sheetView>
  </sheetViews>
  <sheetFormatPr customHeight="1" defaultColWidth="14.43" defaultRowHeight="15.75"/>
  <cols>
    <col customWidth="1" min="1" max="1" width="3.0"/>
    <col customWidth="1" min="2" max="2" width="72.0"/>
    <col customWidth="1" min="3" max="3" width="49.86"/>
  </cols>
  <sheetData>
    <row r="1">
      <c r="A1" s="1"/>
      <c r="B1" s="1" t="s">
        <v>0</v>
      </c>
    </row>
    <row r="2">
      <c r="A2" s="2"/>
      <c r="B2" s="2" t="s">
        <v>1</v>
      </c>
    </row>
    <row r="3" ht="7.5" customHeight="1">
      <c r="A3" s="4"/>
      <c r="B3" s="4"/>
      <c r="C3" s="4"/>
    </row>
    <row r="4">
      <c r="A4" s="1"/>
      <c r="B4" s="1" t="s">
        <v>2</v>
      </c>
    </row>
    <row r="5" ht="27.75" customHeight="1">
      <c r="A5" s="2"/>
      <c r="B5" s="2" t="s">
        <v>3</v>
      </c>
      <c r="C5" s="8" t="str">
        <f>HYPERLINK("https://docs.google.com/spreadsheets/d/1Gcz_bgHHPlevAZqunlVA6zq-Ev24NSKyTn5Huz4m-2Y/copy","MAKE A COPY")</f>
        <v>MAKE A COPY</v>
      </c>
    </row>
    <row r="6">
      <c r="A6" s="2"/>
      <c r="B6" s="2" t="s">
        <v>4</v>
      </c>
    </row>
    <row r="7">
      <c r="A7" s="2"/>
      <c r="B7" s="2" t="s">
        <v>5</v>
      </c>
    </row>
    <row r="8">
      <c r="A8" s="2"/>
      <c r="B8" s="2" t="s">
        <v>6</v>
      </c>
    </row>
    <row r="9">
      <c r="A9" s="2"/>
      <c r="B9" s="2" t="s">
        <v>8</v>
      </c>
    </row>
    <row r="10">
      <c r="A10" s="2"/>
      <c r="B10" s="2" t="s">
        <v>9</v>
      </c>
    </row>
    <row r="11" ht="7.5" customHeight="1">
      <c r="A11" s="4"/>
      <c r="B11" s="4"/>
    </row>
    <row r="12">
      <c r="A12" s="1"/>
      <c r="B12" s="1" t="s">
        <v>10</v>
      </c>
    </row>
    <row r="13">
      <c r="A13" s="2"/>
      <c r="B13" s="2" t="s">
        <v>12</v>
      </c>
      <c r="C13" s="8" t="str">
        <f>HYPERLINK("http://cash.me/$nicholasdeanlambert","Make a donation")</f>
        <v>Make a donation</v>
      </c>
    </row>
    <row r="14" ht="7.5" customHeight="1">
      <c r="A14" s="18"/>
      <c r="B14" s="18"/>
      <c r="C14" s="19"/>
    </row>
    <row r="15">
      <c r="A15" s="21"/>
      <c r="B15" s="21" t="s">
        <v>19</v>
      </c>
      <c r="C15" s="24" t="s">
        <v>20</v>
      </c>
    </row>
    <row r="16">
      <c r="A16" s="21"/>
      <c r="B16" s="21" t="s">
        <v>23</v>
      </c>
      <c r="C16" s="29" t="str">
        <f>IFERROR(__xludf.DUMMYFUNCTION("IMPORTRANGE(""1Gcz_bgHHPlevAZqunlVA6zq-Ev24NSKyTn5Huz4m-2Y"",""'Version History'!A2"")
"),"v1.42")</f>
        <v>v1.42</v>
      </c>
    </row>
    <row r="17">
      <c r="A17" s="21"/>
      <c r="B17" s="21" t="s">
        <v>29</v>
      </c>
      <c r="C17" s="36" t="str">
        <f>if(C15=C16,"up to date.",hyperlink("https://docs.google.com/spreadsheets/d/1Gcz_bgHHPlevAZqunlVA6zq-Ev24NSKyTn5Huz4m-2Y/edit#gid=2079391524","out of date. Go here to get the latest version."))</f>
        <v>up to date.</v>
      </c>
    </row>
    <row r="18">
      <c r="A18" s="21"/>
      <c r="B18" s="21" t="s">
        <v>43</v>
      </c>
      <c r="C18" s="41" t="str">
        <f>HYPERLINK("https://docs.google.com/document/d/1iU_U_UN4gGpfpLUdM-Ec6PprBkD5vRfQ2PvRlOpCN9A/edit","HERE")</f>
        <v>HERE</v>
      </c>
    </row>
    <row r="19">
      <c r="A19" s="21"/>
      <c r="B19" s="21"/>
      <c r="C19" s="36"/>
    </row>
  </sheetData>
  <mergeCells count="10">
    <mergeCell ref="B9:C9"/>
    <mergeCell ref="B10:C10"/>
    <mergeCell ref="B6:C6"/>
    <mergeCell ref="B4:C4"/>
    <mergeCell ref="B2:C2"/>
    <mergeCell ref="B1:C1"/>
    <mergeCell ref="B11:C11"/>
    <mergeCell ref="B12:C12"/>
    <mergeCell ref="B7:C7"/>
    <mergeCell ref="B8:C8"/>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28.14"/>
    <col customWidth="1" min="2" max="2" width="4.29"/>
    <col customWidth="1" min="3" max="3" width="3.43"/>
    <col customWidth="1" min="4" max="5" width="3.29"/>
    <col customWidth="1" min="6" max="8" width="5.57"/>
    <col customWidth="1" min="9" max="10" width="3.29"/>
    <col customWidth="1" min="11" max="30" width="9.86"/>
  </cols>
  <sheetData>
    <row r="1" ht="66.75" customHeight="1">
      <c r="A1" s="117" t="s">
        <v>169</v>
      </c>
      <c r="B1" s="117" t="s">
        <v>171</v>
      </c>
      <c r="C1" s="119" t="s">
        <v>119</v>
      </c>
      <c r="D1" s="120" t="s">
        <v>56</v>
      </c>
      <c r="E1" s="126" t="s">
        <v>176</v>
      </c>
      <c r="F1" s="127" t="s">
        <v>179</v>
      </c>
      <c r="G1" s="127" t="s">
        <v>180</v>
      </c>
      <c r="H1" s="127" t="s">
        <v>181</v>
      </c>
      <c r="I1" s="127" t="s">
        <v>182</v>
      </c>
      <c r="J1" s="127" t="s">
        <v>183</v>
      </c>
      <c r="K1" s="127"/>
      <c r="L1" s="127"/>
      <c r="M1" s="127"/>
      <c r="N1" s="127"/>
      <c r="O1" s="127"/>
      <c r="P1" s="127"/>
      <c r="Q1" s="127"/>
      <c r="R1" s="127"/>
      <c r="S1" s="127"/>
      <c r="T1" s="127"/>
      <c r="U1" s="127"/>
      <c r="V1" s="127"/>
      <c r="W1" s="127"/>
      <c r="X1" s="127"/>
      <c r="Y1" s="127"/>
      <c r="Z1" s="127"/>
      <c r="AA1" s="127"/>
      <c r="AB1" s="127"/>
      <c r="AC1" s="127"/>
      <c r="AD1" s="127"/>
    </row>
    <row r="2">
      <c r="A2" s="129" t="s">
        <v>185</v>
      </c>
      <c r="B2" s="130" t="str">
        <f t="shared" ref="B2:B27" si="1">if(countif(H:H,A2)&gt;1,"("&amp;countif(H:H,A2)&amp;")","")</f>
        <v/>
      </c>
      <c r="C2" s="131">
        <v>1.0</v>
      </c>
      <c r="D2" s="132">
        <v>1.0</v>
      </c>
      <c r="E2" s="133">
        <v>1.0</v>
      </c>
      <c r="F2" s="143" t="str">
        <f t="array" ref="F2:F21">Build!F61:F80</f>
        <v/>
      </c>
      <c r="G2" s="149" t="str">
        <f t="array" ref="G2:G21">Bays</f>
        <v/>
      </c>
      <c r="H2" s="149" t="str">
        <f t="shared" ref="H2:H21" si="2">IF(AND(F2&lt;&gt;"",G2=""),"cargo hold",G2)</f>
        <v/>
      </c>
      <c r="I2" s="143" t="str">
        <f t="shared" ref="I2:I21" si="3">if(H2="hangar bay (slot 1/4)","hangar bay",if(H2="shuttle bay (slot 1/2)","shuttle bay",if(OR(H2="hangar bay (slot 2/4)",H2="hangar bay (slot 3/4)",H2="hangar bay (slot 4/4)"),"",if(H2="shuttle bay (slot 2/2)","",H2))))&amp;" "&amp;iferror(index(B$2:B$27,match(H2,A$2:A$27,0)),"")</f>
        <v> </v>
      </c>
      <c r="J2" s="55" t="str">
        <f>IFERROR(__xludf.DUMMYFUNCTION("sort(unique(I2:I25))")," ")</f>
        <v> </v>
      </c>
      <c r="K2" s="55" t="str">
        <f t="array" ref="K2">if(F2&lt;&gt;"",BayChoice,"")</f>
        <v/>
      </c>
      <c r="L2" s="55" t="str">
        <f t="array" ref="L2">if(F3&lt;&gt;"",if(bays1="hangar bay (slot 1/4)","hangar bay (slot 2/4)",if(bays1="hangar bay (slot 2/4)","hangar bay (slot 3/4)",if(bays1="hangar bay (slot 3/4)","hangar bay (slot 4/4)",if(bays1="shuttle bay (slot 1/2)","shuttle bay (slot 2/2)",if(F3&lt;&gt;"",BayChoice,""))))),"")</f>
        <v/>
      </c>
      <c r="M2" s="55" t="str">
        <f t="array" ref="M2">if(F4&lt;&gt;"",if(bays2="hangar bay (slot 1/4)","hangar bay (slot 2/4)",if(bays2="hangar bay (slot 2/4)","hangar bay (slot 3/4)",if(bays2="hangar bay (slot 3/4)","hangar bay (slot 4/4)",if(bays2="shuttle bay (slot 1/2)","shuttle bay (slot 2/2)",if(F4&lt;&gt;"",BayChoice,""))))),"")</f>
        <v/>
      </c>
      <c r="N2" s="55" t="str">
        <f t="array" ref="N2">if(F5&lt;&gt;"",if(bays3="hangar bay (slot 1/4)","hangar bay (slot 2/4)",if(bays3="hangar bay (slot 2/4)","hangar bay (slot 3/4)",if(bays3="hangar bay (slot 3/4)","hangar bay (slot 4/4)",if(bays3="shuttle bay (slot 1/2)","shuttle bay (slot 2/2)",if(F5&lt;&gt;"",BayChoice,""))))),"")</f>
        <v/>
      </c>
      <c r="O2" s="55" t="str">
        <f t="array" ref="O2">if(F6&lt;&gt;"",if(bays4="hangar bay (slot 1/4)","hangar bay (slot 2/4)",if(bays4="hangar bay (slot 2/4)","hangar bay (slot 3/4)",if(bays4="hangar bay (slot 3/4)","hangar bay (slot 4/4)",if(bays4="shuttle bay (slot 1/2)","shuttle bay (slot 2/2)",if(F6&lt;&gt;"",BayChoice,""))))),"")</f>
        <v/>
      </c>
      <c r="P2" s="55" t="str">
        <f t="array" ref="P2">if(F7&lt;&gt;"",if(bays5="hangar bay (slot 1/4)","hangar bay (slot 2/4)",if(bays5="hangar bay (slot 2/4)","hangar bay (slot 3/4)",if(bays5="hangar bay (slot 3/4)","hangar bay (slot 4/4)",if(bays5="shuttle bay (slot 1/2)","shuttle bay (slot 2/2)",if(F7&lt;&gt;"",BayChoice,""))))),"")</f>
        <v/>
      </c>
      <c r="Q2" s="55" t="str">
        <f t="array" ref="Q2">if(F8&lt;&gt;"",if(bays6="hangar bay (slot 1/4)","hangar bay (slot 2/4)",if(bays6="hangar bay (slot 2/4)","hangar bay (slot 3/4)",if(bays6="hangar bay (slot 3/4)","hangar bay (slot 4/4)",if(bays6="shuttle bay (slot 1/2)","shuttle bay (slot 2/2)",if(F8&lt;&gt;"",BayChoice,""))))),"")</f>
        <v/>
      </c>
      <c r="R2" s="55" t="str">
        <f t="array" ref="R2">if(F9&lt;&gt;"",if(bays7="hangar bay (slot 1/4)","hangar bay (slot 2/4)",if(bays7="hangar bay (slot 2/4)","hangar bay (slot 3/4)",if(bays7="hangar bay (slot 3/4)","hangar bay (slot 4/4)",if(bays7="shuttle bay (slot 1/2)","shuttle bay (slot 2/2)",if(F9&lt;&gt;"",BayChoice,""))))),"")</f>
        <v/>
      </c>
      <c r="S2" s="55" t="str">
        <f t="array" ref="S2">if(F10&lt;&gt;"",if(bays8="hangar bay (slot 1/4)","hangar bay (slot 2/4)",if(bays8="hangar bay (slot 2/4)","hangar bay (slot 3/4)",if(bays8="hangar bay (slot 3/4)","hangar bay (slot 4/4)",if(bays8="shuttle bay (slot 1/2)","shuttle bay (slot 2/2)",if(F10&lt;&gt;"",BayChoice,""))))),"")</f>
        <v/>
      </c>
      <c r="T2" s="55" t="str">
        <f t="array" ref="T2">if(F11&lt;&gt;"",if(bays9="hangar bay (slot 1/4)","hangar bay (slot 2/4)",if(bays9="hangar bay (slot 2/4)","hangar bay (slot 3/4)",if(bays9="hangar bay (slot 3/4)","hangar bay (slot 4/4)",if(bays9="shuttle bay (slot 1/2)","shuttle bay (slot 2/2)",if(F11&lt;&gt;"",BayChoice,""))))),"")</f>
        <v/>
      </c>
      <c r="U2" s="55" t="str">
        <f t="array" ref="U2">if(F12&lt;&gt;"",if(bays10="hangar bay (slot 1/4)","hangar bay (slot 2/4)",if(bays10="hangar bay (slot 2/4)","hangar bay (slot 3/4)",if(bays10="hangar bay (slot 3/4)","hangar bay (slot 4/4)",if(bays10="shuttle bay (slot 1/2)","shuttle bay (slot 2/2)",if(F12&lt;&gt;"",BayChoice))))),"")</f>
        <v/>
      </c>
      <c r="V2" s="55" t="str">
        <f t="array" ref="V2">if(F13&lt;&gt;"",if(bays11="hangar bay (slot 1/4)","hangar bay (slot 2/4)",if(bays11="hangar bay (slot 2/4)","hangar bay (slot 3/4)",if(bays11="hangar bay (slot 3/4)","hangar bay (slot 4/4)",if(bays11="shuttle bay (slot 1/2)","shuttle bay (slot 2/2)",if(F13&lt;&gt;"",BayChoice,""))))),"")</f>
        <v/>
      </c>
      <c r="W2" s="55" t="str">
        <f t="array" ref="W2">if(F14&lt;&gt;"",if(bays12="hangar bay (slot 1/4)","hangar bay (slot 2/4)",if(bays12="hangar bay (slot 2/4)","hangar bay (slot 3/4)",if(bays12="hangar bay (slot 3/4)","hangar bay (slot 4/4)",if(bays12="shuttle bay (slot 1/2)","shuttle bay (slot 2/2)",if(F14&lt;&gt;"",BayChoice,""))))),"")</f>
        <v/>
      </c>
      <c r="X2" s="55" t="str">
        <f t="array" ref="X2">if(F15&lt;&gt;"",if(bays13="hangar bay (slot 1/4)","hangar bay (slot 2/4)",if(bays13="hangar bay (slot 2/4)","hangar bay (slot 3/4)",if(bays13="hangar bay (slot 3/4)","hangar bay (slot 4/4)",if(bays13="shuttle bay (slot 1/2)","shuttle bay (slot 2/2)",if(F15&lt;&gt;"",BayChoice,""))))),"")</f>
        <v/>
      </c>
      <c r="Y2" s="55" t="str">
        <f t="array" ref="Y2">if(F16&lt;&gt;"",if(bays14="hangar bay (slot 1/4)","hangar bay (slot 2/4)",if(bays14="hangar bay (slot 2/4)","hangar bay (slot 3/4)",if(bays14="hangar bay (slot 3/4)","hangar bay (slot 4/4)",if(bays14="shuttle bay (slot 1/2)","shuttle bay (slot 2/2)",if(F16&lt;&gt;"",BayChoice,""))))),"")</f>
        <v/>
      </c>
      <c r="Z2" s="55" t="str">
        <f t="array" ref="Z2">if(F17&lt;&gt;"",if(bays15="hangar bay (slot 1/4)","hangar bay (slot 2/4)",if(bays15="hangar bay (slot 2/4)","hangar bay (slot 3/4)",if(bays15="hangar bay (slot 3/4)","hangar bay (slot 4/4)",if(bays15="shuttle bay (slot 1/2)","shuttle bay (slot 2/2)",if(F17&lt;&gt;"",BayChoice,""))))),"")</f>
        <v/>
      </c>
      <c r="AA2" s="55" t="str">
        <f t="array" ref="AA2">if(F18&lt;&gt;"",if(bays16="hangar bay (slot 1/4)","hangar bay (slot 2/4)",if(bays16="hangar bay (slot 2/4)","hangar bay (slot 3/4)",if(bays16="hangar bay (slot 3/4)","hangar bay (slot 4/4)",if(bays16="shuttle bay (slot 1/2)","shuttle bay (slot 2/2)",if(F18&lt;&gt;"",BayChoice,""))))),"")</f>
        <v/>
      </c>
      <c r="AB2" s="55" t="str">
        <f t="array" ref="AB2">if(F19&lt;&gt;"",if(bays17="hangar bay (slot 1/4)","hangar bay (slot 2/4)",if(bays17="hangar bay (slot 2/4)","hangar bay (slot 3/4)",if(bays17="hangar bay (slot 3/4)","hangar bay (slot 4/4)",if(bays17="shuttle bay (slot 1/2)","shuttle bay (slot 2/2)",if(F19&lt;&gt;"",BayChoice,""))))),"")</f>
        <v/>
      </c>
      <c r="AC2" s="55" t="str">
        <f t="array" ref="AC2">if(F20&lt;&gt;"",if(bays18="hangar bay (slot 1/4)","hangar bay (slot 2/4)",if(bays18="hangar bay (slot 2/4)","hangar bay (slot 3/4)",if(bays18="hangar bay (slot 3/4)","hangar bay (slot 4/4)",if(bays18="shuttle bay (slot 1/2)","shuttle bay (slot 2/2)",if(F20&lt;&gt;"",BayChoice,""))))),"")</f>
        <v/>
      </c>
      <c r="AD2" s="55" t="str">
        <f t="array" ref="AD2">if(F21&lt;&gt;"",if(bays19="hangar bay (slot 1/4)","hangar bay (slot 2/4)",if(bays19="hangar bay (slot 2/4)","hangar bay (slot 3/4)",if(bays19="hangar bay (slot 3/4)","hangar bay (slot 4/4)",if(bays19="shuttle bay (slot 1/2)","shuttle bay (slot 2/2)",if(F21&lt;&gt;"",BayChoice,""))))),"")</f>
        <v/>
      </c>
    </row>
    <row r="3">
      <c r="A3" s="129" t="s">
        <v>926</v>
      </c>
      <c r="B3" s="130" t="str">
        <f t="shared" si="1"/>
        <v/>
      </c>
      <c r="C3" s="131">
        <v>0.0</v>
      </c>
      <c r="D3" s="132">
        <v>0.0</v>
      </c>
      <c r="E3" s="133">
        <v>1.0</v>
      </c>
      <c r="F3" s="143" t="s">
        <v>177</v>
      </c>
      <c r="G3" s="149"/>
      <c r="H3" s="149" t="str">
        <f t="shared" si="2"/>
        <v/>
      </c>
      <c r="I3" s="143" t="str">
        <f t="shared" si="3"/>
        <v> </v>
      </c>
      <c r="J3" s="55"/>
      <c r="K3" s="55"/>
      <c r="L3" s="55"/>
      <c r="M3" s="55"/>
      <c r="N3" s="55"/>
      <c r="O3" s="55"/>
      <c r="P3" s="55"/>
      <c r="Q3" s="55"/>
      <c r="R3" s="55"/>
      <c r="S3" s="55"/>
      <c r="T3" s="55"/>
      <c r="U3" s="55"/>
      <c r="V3" s="55"/>
      <c r="W3" s="55"/>
      <c r="X3" s="55"/>
      <c r="Y3" s="55"/>
      <c r="Z3" s="55"/>
      <c r="AA3" s="55"/>
      <c r="AB3" s="55"/>
      <c r="AC3" s="55"/>
      <c r="AD3" s="55"/>
    </row>
    <row r="4">
      <c r="A4" s="129" t="s">
        <v>927</v>
      </c>
      <c r="B4" s="130" t="str">
        <f t="shared" si="1"/>
        <v/>
      </c>
      <c r="C4" s="131">
        <v>2.0</v>
      </c>
      <c r="D4" s="132">
        <v>1.0</v>
      </c>
      <c r="E4" s="133">
        <v>1.0</v>
      </c>
      <c r="F4" s="143" t="s">
        <v>177</v>
      </c>
      <c r="G4" s="149"/>
      <c r="H4" s="149" t="str">
        <f t="shared" si="2"/>
        <v/>
      </c>
      <c r="I4" s="143" t="str">
        <f t="shared" si="3"/>
        <v> </v>
      </c>
      <c r="J4" s="55"/>
      <c r="K4" s="55"/>
      <c r="L4" s="55"/>
      <c r="M4" s="55"/>
      <c r="N4" s="55"/>
      <c r="O4" s="55"/>
      <c r="P4" s="55"/>
      <c r="Q4" s="55"/>
      <c r="R4" s="55"/>
      <c r="S4" s="55"/>
      <c r="T4" s="55"/>
      <c r="U4" s="55"/>
      <c r="V4" s="55"/>
      <c r="W4" s="55"/>
      <c r="X4" s="55"/>
      <c r="Y4" s="55"/>
      <c r="Z4" s="55"/>
      <c r="AA4" s="55"/>
      <c r="AB4" s="55"/>
      <c r="AC4" s="55"/>
      <c r="AD4" s="55"/>
    </row>
    <row r="5">
      <c r="A5" s="129" t="s">
        <v>928</v>
      </c>
      <c r="B5" s="130" t="str">
        <f t="shared" si="1"/>
        <v/>
      </c>
      <c r="C5" s="131">
        <v>1.0</v>
      </c>
      <c r="D5" s="132">
        <v>1.0</v>
      </c>
      <c r="E5" s="133">
        <v>1.0</v>
      </c>
      <c r="F5" s="143" t="s">
        <v>177</v>
      </c>
      <c r="G5" s="149"/>
      <c r="H5" s="149" t="str">
        <f t="shared" si="2"/>
        <v/>
      </c>
      <c r="I5" s="143" t="str">
        <f t="shared" si="3"/>
        <v> </v>
      </c>
      <c r="J5" s="55"/>
      <c r="K5" s="55"/>
      <c r="L5" s="55"/>
      <c r="M5" s="55"/>
      <c r="N5" s="55"/>
      <c r="O5" s="55"/>
      <c r="P5" s="55"/>
      <c r="Q5" s="55"/>
      <c r="R5" s="55"/>
      <c r="S5" s="55"/>
      <c r="T5" s="55"/>
      <c r="U5" s="55"/>
      <c r="V5" s="55"/>
      <c r="W5" s="55"/>
      <c r="X5" s="55"/>
      <c r="Y5" s="55"/>
      <c r="Z5" s="55"/>
      <c r="AA5" s="55"/>
      <c r="AB5" s="55"/>
      <c r="AC5" s="55"/>
      <c r="AD5" s="55"/>
    </row>
    <row r="6">
      <c r="A6" s="130" t="str">
        <f>if(ShipSizeNum&gt;=6,"hangar bay (slot 1/4)","")</f>
        <v/>
      </c>
      <c r="B6" s="130" t="str">
        <f t="shared" si="1"/>
        <v>(26)</v>
      </c>
      <c r="C6" s="131">
        <v>30.0</v>
      </c>
      <c r="D6" s="132">
        <v>10.0</v>
      </c>
      <c r="E6" s="133">
        <v>1.0</v>
      </c>
      <c r="F6" s="143" t="s">
        <v>177</v>
      </c>
      <c r="G6" s="309"/>
      <c r="H6" s="149" t="str">
        <f t="shared" si="2"/>
        <v/>
      </c>
      <c r="I6" s="143" t="str">
        <f t="shared" si="3"/>
        <v> </v>
      </c>
      <c r="J6" s="55"/>
      <c r="K6" s="310"/>
      <c r="L6" s="310"/>
      <c r="M6" s="310"/>
      <c r="N6" s="310"/>
      <c r="O6" s="310"/>
      <c r="P6" s="310"/>
      <c r="Q6" s="310"/>
      <c r="R6" s="310"/>
      <c r="S6" s="310"/>
      <c r="T6" s="310"/>
      <c r="U6" s="310"/>
      <c r="V6" s="310"/>
      <c r="W6" s="310"/>
      <c r="X6" s="310"/>
      <c r="Y6" s="310"/>
      <c r="Z6" s="310"/>
      <c r="AA6" s="310"/>
      <c r="AB6" s="310"/>
      <c r="AC6" s="310"/>
      <c r="AD6" s="310"/>
    </row>
    <row r="7">
      <c r="A7" s="130" t="s">
        <v>929</v>
      </c>
      <c r="B7" s="130" t="str">
        <f t="shared" si="1"/>
        <v/>
      </c>
      <c r="C7" s="131">
        <v>5.0</v>
      </c>
      <c r="D7" s="132">
        <v>3.0</v>
      </c>
      <c r="E7" s="133">
        <v>1.0</v>
      </c>
      <c r="F7" s="311" t="s">
        <v>177</v>
      </c>
      <c r="G7" s="309"/>
      <c r="H7" s="149" t="str">
        <f t="shared" si="2"/>
        <v/>
      </c>
      <c r="I7" s="143" t="str">
        <f t="shared" si="3"/>
        <v> </v>
      </c>
      <c r="J7" s="55"/>
      <c r="K7" s="55"/>
      <c r="L7" s="55"/>
      <c r="M7" s="55"/>
      <c r="N7" s="55"/>
      <c r="O7" s="55"/>
      <c r="P7" s="55"/>
      <c r="Q7" s="55"/>
      <c r="R7" s="55"/>
      <c r="S7" s="55"/>
      <c r="T7" s="55"/>
      <c r="U7" s="55"/>
      <c r="V7" s="55"/>
      <c r="W7" s="55"/>
      <c r="X7" s="55"/>
      <c r="Y7" s="55"/>
      <c r="Z7" s="55"/>
      <c r="AA7" s="55"/>
      <c r="AB7" s="55"/>
      <c r="AC7" s="55"/>
      <c r="AD7" s="55"/>
    </row>
    <row r="8">
      <c r="A8" s="130" t="s">
        <v>930</v>
      </c>
      <c r="B8" s="130" t="str">
        <f t="shared" si="1"/>
        <v/>
      </c>
      <c r="C8" s="131">
        <v>4.0</v>
      </c>
      <c r="D8" s="132">
        <v>8.0</v>
      </c>
      <c r="E8" s="133">
        <v>1.0</v>
      </c>
      <c r="F8" s="311" t="s">
        <v>177</v>
      </c>
      <c r="G8" s="309"/>
      <c r="H8" s="149" t="str">
        <f t="shared" si="2"/>
        <v/>
      </c>
      <c r="I8" s="143" t="str">
        <f t="shared" si="3"/>
        <v> </v>
      </c>
      <c r="J8" s="55"/>
      <c r="K8" s="55"/>
      <c r="L8" s="55"/>
      <c r="M8" s="55"/>
      <c r="N8" s="55"/>
      <c r="O8" s="55"/>
      <c r="P8" s="55"/>
      <c r="Q8" s="55"/>
      <c r="R8" s="55"/>
      <c r="S8" s="55"/>
      <c r="T8" s="55"/>
      <c r="U8" s="55"/>
      <c r="V8" s="55"/>
      <c r="W8" s="55"/>
      <c r="X8" s="55"/>
      <c r="Y8" s="55"/>
      <c r="Z8" s="55"/>
      <c r="AA8" s="55"/>
      <c r="AB8" s="55"/>
      <c r="AC8" s="55"/>
      <c r="AD8" s="55"/>
    </row>
    <row r="9">
      <c r="A9" s="130" t="s">
        <v>931</v>
      </c>
      <c r="B9" s="130" t="str">
        <f t="shared" si="1"/>
        <v/>
      </c>
      <c r="C9" s="131">
        <v>0.0</v>
      </c>
      <c r="D9" s="132">
        <v>0.0</v>
      </c>
      <c r="E9" s="133">
        <v>1.0</v>
      </c>
      <c r="F9" s="311" t="s">
        <v>177</v>
      </c>
      <c r="G9" s="309"/>
      <c r="H9" s="149" t="str">
        <f t="shared" si="2"/>
        <v/>
      </c>
      <c r="I9" s="143" t="str">
        <f t="shared" si="3"/>
        <v> </v>
      </c>
      <c r="J9" s="55"/>
      <c r="K9" s="55"/>
      <c r="L9" s="55"/>
      <c r="M9" s="55"/>
      <c r="N9" s="55"/>
      <c r="O9" s="55"/>
      <c r="P9" s="55"/>
      <c r="Q9" s="55"/>
      <c r="R9" s="55"/>
      <c r="S9" s="55"/>
      <c r="T9" s="55"/>
      <c r="U9" s="55"/>
      <c r="V9" s="55"/>
      <c r="W9" s="55"/>
      <c r="X9" s="55"/>
      <c r="Y9" s="55"/>
      <c r="Z9" s="55"/>
      <c r="AA9" s="55"/>
      <c r="AB9" s="55"/>
      <c r="AC9" s="55"/>
      <c r="AD9" s="55"/>
    </row>
    <row r="10">
      <c r="A10" s="130" t="str">
        <f>if(ShipSizeNum&gt;=3,"power core housing","")</f>
        <v/>
      </c>
      <c r="B10" s="130" t="str">
        <f t="shared" si="1"/>
        <v>(26)</v>
      </c>
      <c r="C10" s="131">
        <v>0.0</v>
      </c>
      <c r="D10" s="132">
        <v>10.0</v>
      </c>
      <c r="E10" s="133">
        <v>1.0</v>
      </c>
      <c r="F10" s="311" t="s">
        <v>177</v>
      </c>
      <c r="G10" s="309"/>
      <c r="H10" s="149" t="str">
        <f t="shared" si="2"/>
        <v/>
      </c>
      <c r="I10" s="143" t="str">
        <f t="shared" si="3"/>
        <v> </v>
      </c>
      <c r="J10" s="55"/>
      <c r="K10" s="310"/>
      <c r="L10" s="310"/>
      <c r="M10" s="310"/>
      <c r="N10" s="310"/>
      <c r="O10" s="310"/>
      <c r="P10" s="310"/>
      <c r="Q10" s="310"/>
      <c r="R10" s="310"/>
      <c r="S10" s="310"/>
      <c r="T10" s="310"/>
      <c r="U10" s="310"/>
      <c r="V10" s="310"/>
      <c r="W10" s="310"/>
      <c r="X10" s="310"/>
      <c r="Y10" s="310"/>
      <c r="Z10" s="310"/>
      <c r="AA10" s="310"/>
      <c r="AB10" s="310"/>
      <c r="AC10" s="310"/>
      <c r="AD10" s="310"/>
    </row>
    <row r="11">
      <c r="A11" s="130" t="s">
        <v>932</v>
      </c>
      <c r="B11" s="130" t="str">
        <f t="shared" si="1"/>
        <v/>
      </c>
      <c r="C11" s="131">
        <v>0.0</v>
      </c>
      <c r="D11" s="132">
        <v>1.0</v>
      </c>
      <c r="E11" s="133">
        <v>1.0</v>
      </c>
      <c r="F11" s="311" t="s">
        <v>177</v>
      </c>
      <c r="G11" s="309"/>
      <c r="H11" s="149" t="str">
        <f t="shared" si="2"/>
        <v/>
      </c>
      <c r="I11" s="143" t="str">
        <f t="shared" si="3"/>
        <v> </v>
      </c>
      <c r="J11" s="55"/>
      <c r="K11" s="55"/>
      <c r="L11" s="55"/>
      <c r="M11" s="55"/>
      <c r="N11" s="55"/>
      <c r="O11" s="55"/>
      <c r="P11" s="55"/>
      <c r="Q11" s="55"/>
      <c r="R11" s="55"/>
      <c r="S11" s="55"/>
      <c r="T11" s="55"/>
      <c r="U11" s="55"/>
      <c r="V11" s="55"/>
      <c r="W11" s="55"/>
      <c r="X11" s="55"/>
      <c r="Y11" s="55"/>
      <c r="Z11" s="55"/>
      <c r="AA11" s="55"/>
      <c r="AB11" s="55"/>
      <c r="AC11" s="55"/>
      <c r="AD11" s="55"/>
    </row>
    <row r="12">
      <c r="A12" s="130" t="s">
        <v>933</v>
      </c>
      <c r="B12" s="130" t="str">
        <f t="shared" si="1"/>
        <v/>
      </c>
      <c r="C12" s="131">
        <v>1.0</v>
      </c>
      <c r="D12" s="132">
        <v>1.0</v>
      </c>
      <c r="E12" s="133">
        <v>1.0</v>
      </c>
      <c r="F12" s="311" t="s">
        <v>177</v>
      </c>
      <c r="G12" s="309"/>
      <c r="H12" s="149" t="str">
        <f t="shared" si="2"/>
        <v/>
      </c>
      <c r="I12" s="143" t="str">
        <f t="shared" si="3"/>
        <v> </v>
      </c>
      <c r="J12" s="55"/>
      <c r="K12" s="55"/>
      <c r="L12" s="55"/>
      <c r="M12" s="55"/>
      <c r="N12" s="55"/>
      <c r="O12" s="55"/>
      <c r="P12" s="55"/>
      <c r="Q12" s="55"/>
      <c r="R12" s="55"/>
      <c r="S12" s="55"/>
      <c r="T12" s="55"/>
      <c r="U12" s="55"/>
      <c r="V12" s="55"/>
      <c r="W12" s="55"/>
      <c r="X12" s="55"/>
      <c r="Y12" s="55"/>
      <c r="Z12" s="55"/>
      <c r="AA12" s="55"/>
      <c r="AB12" s="55"/>
      <c r="AC12" s="55"/>
      <c r="AD12" s="55"/>
    </row>
    <row r="13">
      <c r="A13" s="130" t="s">
        <v>934</v>
      </c>
      <c r="B13" s="130" t="str">
        <f t="shared" si="1"/>
        <v/>
      </c>
      <c r="C13" s="131">
        <v>3.0</v>
      </c>
      <c r="D13" s="132">
        <v>1.0</v>
      </c>
      <c r="E13" s="133">
        <v>1.0</v>
      </c>
      <c r="F13" s="311" t="s">
        <v>177</v>
      </c>
      <c r="G13" s="309"/>
      <c r="H13" s="149" t="str">
        <f t="shared" si="2"/>
        <v/>
      </c>
      <c r="I13" s="143" t="str">
        <f t="shared" si="3"/>
        <v> </v>
      </c>
      <c r="J13" s="55"/>
      <c r="K13" s="55"/>
      <c r="L13" s="55"/>
      <c r="M13" s="55"/>
      <c r="N13" s="55"/>
      <c r="O13" s="55"/>
      <c r="P13" s="55"/>
      <c r="Q13" s="55"/>
      <c r="R13" s="55"/>
      <c r="S13" s="55"/>
      <c r="T13" s="55"/>
      <c r="U13" s="55"/>
      <c r="V13" s="55"/>
      <c r="W13" s="55"/>
      <c r="X13" s="55"/>
      <c r="Y13" s="55"/>
      <c r="Z13" s="55"/>
      <c r="AA13" s="55"/>
      <c r="AB13" s="55"/>
      <c r="AC13" s="55"/>
      <c r="AD13" s="55"/>
    </row>
    <row r="14">
      <c r="A14" s="130" t="s">
        <v>935</v>
      </c>
      <c r="B14" s="130" t="str">
        <f t="shared" si="1"/>
        <v/>
      </c>
      <c r="C14" s="131">
        <v>2.0</v>
      </c>
      <c r="D14" s="132">
        <v>1.0</v>
      </c>
      <c r="E14" s="133">
        <v>1.0</v>
      </c>
      <c r="F14" s="311" t="s">
        <v>177</v>
      </c>
      <c r="G14" s="309"/>
      <c r="H14" s="149" t="str">
        <f t="shared" si="2"/>
        <v/>
      </c>
      <c r="I14" s="143" t="str">
        <f t="shared" si="3"/>
        <v> </v>
      </c>
      <c r="J14" s="55"/>
      <c r="K14" s="55"/>
      <c r="L14" s="55"/>
      <c r="M14" s="55"/>
      <c r="N14" s="55"/>
      <c r="O14" s="55"/>
      <c r="P14" s="55"/>
      <c r="Q14" s="55"/>
      <c r="R14" s="55"/>
      <c r="S14" s="55"/>
      <c r="T14" s="55"/>
      <c r="U14" s="55"/>
      <c r="V14" s="55"/>
      <c r="W14" s="55"/>
      <c r="X14" s="55"/>
      <c r="Y14" s="55"/>
      <c r="Z14" s="55"/>
      <c r="AA14" s="55"/>
      <c r="AB14" s="55"/>
      <c r="AC14" s="55"/>
      <c r="AD14" s="55"/>
    </row>
    <row r="15">
      <c r="A15" s="130" t="s">
        <v>936</v>
      </c>
      <c r="B15" s="130" t="str">
        <f t="shared" si="1"/>
        <v/>
      </c>
      <c r="C15" s="131">
        <v>2.0</v>
      </c>
      <c r="D15" s="132">
        <v>1.0</v>
      </c>
      <c r="E15" s="133">
        <v>1.0</v>
      </c>
      <c r="F15" s="311" t="s">
        <v>177</v>
      </c>
      <c r="G15" s="309"/>
      <c r="H15" s="149" t="str">
        <f t="shared" si="2"/>
        <v/>
      </c>
      <c r="I15" s="143" t="str">
        <f t="shared" si="3"/>
        <v> </v>
      </c>
      <c r="J15" s="55"/>
      <c r="K15" s="55"/>
      <c r="L15" s="55"/>
      <c r="M15" s="55"/>
      <c r="N15" s="55"/>
      <c r="O15" s="55"/>
      <c r="P15" s="55"/>
      <c r="Q15" s="55"/>
      <c r="R15" s="55"/>
      <c r="S15" s="55"/>
      <c r="T15" s="55"/>
      <c r="U15" s="55"/>
      <c r="V15" s="55"/>
      <c r="W15" s="55"/>
      <c r="X15" s="55"/>
      <c r="Y15" s="55"/>
      <c r="Z15" s="55"/>
      <c r="AA15" s="55"/>
      <c r="AB15" s="55"/>
      <c r="AC15" s="55"/>
      <c r="AD15" s="55"/>
    </row>
    <row r="16">
      <c r="A16" s="130" t="str">
        <f>if(ShipSizeNum&gt;=5,"shuttle bay (slot 1/2)","")</f>
        <v/>
      </c>
      <c r="B16" s="130" t="str">
        <f t="shared" si="1"/>
        <v>(26)</v>
      </c>
      <c r="C16" s="131">
        <v>10.0</v>
      </c>
      <c r="D16" s="132">
        <v>4.0</v>
      </c>
      <c r="E16" s="133">
        <v>1.0</v>
      </c>
      <c r="F16" s="311" t="s">
        <v>177</v>
      </c>
      <c r="G16" s="309"/>
      <c r="H16" s="149" t="str">
        <f t="shared" si="2"/>
        <v/>
      </c>
      <c r="I16" s="143" t="str">
        <f t="shared" si="3"/>
        <v> </v>
      </c>
      <c r="J16" s="55"/>
      <c r="K16" s="310"/>
      <c r="L16" s="310"/>
      <c r="M16" s="310"/>
      <c r="N16" s="310"/>
      <c r="O16" s="310"/>
      <c r="P16" s="310"/>
      <c r="Q16" s="310"/>
      <c r="R16" s="310"/>
      <c r="S16" s="310"/>
      <c r="T16" s="310"/>
      <c r="U16" s="310"/>
      <c r="V16" s="310"/>
      <c r="W16" s="310"/>
      <c r="X16" s="310"/>
      <c r="Y16" s="310"/>
      <c r="Z16" s="310"/>
      <c r="AA16" s="310"/>
      <c r="AB16" s="310"/>
      <c r="AC16" s="310"/>
      <c r="AD16" s="310"/>
    </row>
    <row r="17">
      <c r="A17" s="130" t="s">
        <v>937</v>
      </c>
      <c r="B17" s="130" t="str">
        <f t="shared" si="1"/>
        <v/>
      </c>
      <c r="C17" s="131">
        <v>4.0</v>
      </c>
      <c r="D17" s="132">
        <v>2.0</v>
      </c>
      <c r="E17" s="133">
        <v>1.0</v>
      </c>
      <c r="F17" s="311" t="s">
        <v>177</v>
      </c>
      <c r="G17" s="309"/>
      <c r="H17" s="149" t="str">
        <f t="shared" si="2"/>
        <v/>
      </c>
      <c r="I17" s="143" t="str">
        <f t="shared" si="3"/>
        <v> </v>
      </c>
      <c r="J17" s="55"/>
      <c r="K17" s="55"/>
      <c r="L17" s="55"/>
      <c r="M17" s="55"/>
      <c r="N17" s="55"/>
      <c r="O17" s="55"/>
      <c r="P17" s="55"/>
      <c r="Q17" s="55"/>
      <c r="R17" s="55"/>
      <c r="S17" s="55"/>
      <c r="T17" s="55"/>
      <c r="U17" s="55"/>
      <c r="V17" s="55"/>
      <c r="W17" s="55"/>
      <c r="X17" s="55"/>
      <c r="Y17" s="55"/>
      <c r="Z17" s="55"/>
      <c r="AA17" s="55"/>
      <c r="AB17" s="55"/>
      <c r="AC17" s="55"/>
      <c r="AD17" s="55"/>
    </row>
    <row r="18">
      <c r="A18" s="130" t="s">
        <v>938</v>
      </c>
      <c r="B18" s="130" t="str">
        <f t="shared" si="1"/>
        <v/>
      </c>
      <c r="C18" s="131">
        <v>5.0</v>
      </c>
      <c r="D18" s="132">
        <v>3.0</v>
      </c>
      <c r="E18" s="133">
        <v>1.0</v>
      </c>
      <c r="F18" s="311" t="s">
        <v>177</v>
      </c>
      <c r="G18" s="309"/>
      <c r="H18" s="149" t="str">
        <f t="shared" si="2"/>
        <v/>
      </c>
      <c r="I18" s="143" t="str">
        <f t="shared" si="3"/>
        <v> </v>
      </c>
      <c r="J18" s="55"/>
      <c r="K18" s="55"/>
      <c r="L18" s="55"/>
      <c r="M18" s="55"/>
      <c r="N18" s="55"/>
      <c r="O18" s="55"/>
      <c r="P18" s="55"/>
      <c r="Q18" s="55"/>
      <c r="R18" s="55"/>
      <c r="S18" s="55"/>
      <c r="T18" s="55"/>
      <c r="U18" s="55"/>
      <c r="V18" s="55"/>
      <c r="W18" s="55"/>
      <c r="X18" s="55"/>
      <c r="Y18" s="55"/>
      <c r="Z18" s="55"/>
      <c r="AA18" s="55"/>
      <c r="AB18" s="55"/>
      <c r="AC18" s="55"/>
      <c r="AD18" s="55"/>
    </row>
    <row r="19">
      <c r="A19" s="130" t="s">
        <v>939</v>
      </c>
      <c r="B19" s="130" t="str">
        <f t="shared" si="1"/>
        <v/>
      </c>
      <c r="C19" s="131">
        <v>6.0</v>
      </c>
      <c r="D19" s="132">
        <v>4.0</v>
      </c>
      <c r="E19" s="133">
        <v>1.0</v>
      </c>
      <c r="F19" s="311" t="s">
        <v>177</v>
      </c>
      <c r="G19" s="309"/>
      <c r="H19" s="149" t="str">
        <f t="shared" si="2"/>
        <v/>
      </c>
      <c r="I19" s="143" t="str">
        <f t="shared" si="3"/>
        <v> </v>
      </c>
      <c r="J19" s="55"/>
      <c r="K19" s="55"/>
      <c r="L19" s="55"/>
      <c r="M19" s="55"/>
      <c r="N19" s="55"/>
      <c r="O19" s="55"/>
      <c r="P19" s="55"/>
      <c r="Q19" s="55"/>
      <c r="R19" s="55"/>
      <c r="S19" s="55"/>
      <c r="T19" s="55"/>
      <c r="U19" s="55"/>
      <c r="V19" s="55"/>
      <c r="W19" s="55"/>
      <c r="X19" s="55"/>
      <c r="Y19" s="55"/>
      <c r="Z19" s="55"/>
      <c r="AA19" s="55"/>
      <c r="AB19" s="55"/>
      <c r="AC19" s="55"/>
      <c r="AD19" s="55"/>
    </row>
    <row r="20">
      <c r="A20" s="130" t="s">
        <v>940</v>
      </c>
      <c r="B20" s="130" t="str">
        <f t="shared" si="1"/>
        <v/>
      </c>
      <c r="C20" s="131">
        <v>7.0</v>
      </c>
      <c r="D20" s="132">
        <v>5.0</v>
      </c>
      <c r="E20" s="133">
        <v>1.0</v>
      </c>
      <c r="F20" s="311" t="s">
        <v>177</v>
      </c>
      <c r="G20" s="309"/>
      <c r="H20" s="149" t="str">
        <f t="shared" si="2"/>
        <v/>
      </c>
      <c r="I20" s="143" t="str">
        <f t="shared" si="3"/>
        <v> </v>
      </c>
      <c r="J20" s="55"/>
      <c r="K20" s="55"/>
      <c r="L20" s="55"/>
      <c r="M20" s="55"/>
      <c r="N20" s="55"/>
      <c r="O20" s="55"/>
      <c r="P20" s="55"/>
      <c r="Q20" s="55"/>
      <c r="R20" s="55"/>
      <c r="S20" s="55"/>
      <c r="T20" s="55"/>
      <c r="U20" s="55"/>
      <c r="V20" s="55"/>
      <c r="W20" s="55"/>
      <c r="X20" s="55"/>
      <c r="Y20" s="55"/>
      <c r="Z20" s="55"/>
      <c r="AA20" s="55"/>
      <c r="AB20" s="55"/>
      <c r="AC20" s="55"/>
      <c r="AD20" s="55"/>
    </row>
    <row r="21">
      <c r="A21" s="130" t="s">
        <v>941</v>
      </c>
      <c r="B21" s="130" t="str">
        <f t="shared" si="1"/>
        <v/>
      </c>
      <c r="C21" s="131">
        <v>8.0</v>
      </c>
      <c r="D21" s="132">
        <v>6.0</v>
      </c>
      <c r="E21" s="133">
        <v>1.0</v>
      </c>
      <c r="F21" s="311" t="s">
        <v>177</v>
      </c>
      <c r="G21" s="309"/>
      <c r="H21" s="149" t="str">
        <f t="shared" si="2"/>
        <v/>
      </c>
      <c r="I21" s="143" t="str">
        <f t="shared" si="3"/>
        <v> </v>
      </c>
      <c r="J21" s="55"/>
      <c r="K21" s="55"/>
      <c r="L21" s="55"/>
      <c r="M21" s="55"/>
      <c r="N21" s="55"/>
      <c r="O21" s="55"/>
      <c r="P21" s="55"/>
      <c r="Q21" s="55"/>
      <c r="R21" s="55"/>
      <c r="S21" s="55"/>
      <c r="T21" s="55"/>
      <c r="U21" s="55"/>
      <c r="V21" s="55"/>
      <c r="W21" s="55"/>
      <c r="X21" s="55"/>
      <c r="Y21" s="55"/>
      <c r="Z21" s="55"/>
      <c r="AA21" s="55"/>
      <c r="AB21" s="55"/>
      <c r="AC21" s="55"/>
      <c r="AD21" s="55"/>
    </row>
    <row r="22">
      <c r="A22" s="130" t="s">
        <v>942</v>
      </c>
      <c r="B22" s="130" t="str">
        <f t="shared" si="1"/>
        <v/>
      </c>
      <c r="C22" s="131">
        <v>9.0</v>
      </c>
      <c r="D22" s="132">
        <v>7.0</v>
      </c>
      <c r="E22" s="133">
        <v>1.0</v>
      </c>
      <c r="F22" s="64"/>
      <c r="G22" s="64"/>
      <c r="H22" s="64"/>
      <c r="I22" s="55"/>
      <c r="J22" s="55"/>
      <c r="K22" s="55"/>
      <c r="L22" s="55"/>
      <c r="M22" s="55"/>
      <c r="N22" s="55"/>
      <c r="O22" s="55"/>
      <c r="P22" s="55"/>
      <c r="Q22" s="55"/>
      <c r="R22" s="55"/>
      <c r="S22" s="55"/>
      <c r="T22" s="55"/>
      <c r="U22" s="55"/>
      <c r="V22" s="55"/>
      <c r="W22" s="55"/>
      <c r="X22" s="55"/>
      <c r="Y22" s="55"/>
      <c r="Z22" s="55"/>
      <c r="AA22" s="55"/>
      <c r="AB22" s="55"/>
      <c r="AC22" s="55"/>
      <c r="AD22" s="55"/>
    </row>
    <row r="23">
      <c r="A23" s="130" t="s">
        <v>943</v>
      </c>
      <c r="B23" s="130" t="str">
        <f t="shared" si="1"/>
        <v/>
      </c>
      <c r="C23" s="131">
        <v>10.0</v>
      </c>
      <c r="D23" s="132">
        <v>8.0</v>
      </c>
      <c r="E23" s="133">
        <v>1.0</v>
      </c>
      <c r="F23" s="64"/>
      <c r="G23" s="64"/>
      <c r="H23" s="64"/>
      <c r="I23" s="55"/>
      <c r="J23" s="55"/>
      <c r="K23" s="55"/>
      <c r="L23" s="55"/>
      <c r="M23" s="55"/>
      <c r="N23" s="55"/>
      <c r="O23" s="55"/>
      <c r="P23" s="55"/>
      <c r="Q23" s="55"/>
      <c r="R23" s="55"/>
      <c r="S23" s="55"/>
      <c r="T23" s="55"/>
      <c r="U23" s="55"/>
      <c r="V23" s="55"/>
      <c r="W23" s="55"/>
      <c r="X23" s="55"/>
      <c r="Y23" s="55"/>
      <c r="Z23" s="55"/>
      <c r="AA23" s="55"/>
      <c r="AB23" s="55"/>
      <c r="AC23" s="55"/>
      <c r="AD23" s="55"/>
    </row>
    <row r="24">
      <c r="A24" s="130" t="s">
        <v>944</v>
      </c>
      <c r="B24" s="130" t="str">
        <f t="shared" si="1"/>
        <v/>
      </c>
      <c r="C24" s="131">
        <v>2.0</v>
      </c>
      <c r="D24" s="132">
        <v>1.0</v>
      </c>
      <c r="E24" s="133">
        <v>1.0</v>
      </c>
      <c r="F24" s="64"/>
      <c r="G24" s="64"/>
      <c r="H24" s="64"/>
      <c r="I24" s="55"/>
      <c r="J24" s="55"/>
      <c r="K24" s="55"/>
      <c r="L24" s="55"/>
      <c r="M24" s="55"/>
      <c r="N24" s="55"/>
      <c r="O24" s="55"/>
      <c r="P24" s="55"/>
      <c r="Q24" s="55"/>
      <c r="R24" s="55"/>
      <c r="S24" s="55"/>
      <c r="T24" s="55"/>
      <c r="U24" s="55"/>
      <c r="V24" s="55"/>
      <c r="W24" s="55"/>
      <c r="X24" s="55"/>
      <c r="Y24" s="55"/>
      <c r="Z24" s="55"/>
      <c r="AA24" s="55"/>
      <c r="AB24" s="55"/>
      <c r="AC24" s="55"/>
      <c r="AD24" s="55"/>
    </row>
    <row r="25">
      <c r="A25" s="130" t="s">
        <v>945</v>
      </c>
      <c r="B25" s="130" t="str">
        <f t="shared" si="1"/>
        <v/>
      </c>
      <c r="C25" s="131">
        <v>3.0</v>
      </c>
      <c r="D25" s="132">
        <v>1.0</v>
      </c>
      <c r="E25" s="133">
        <v>1.0</v>
      </c>
      <c r="F25" s="64"/>
      <c r="G25" s="64"/>
      <c r="H25" s="64"/>
      <c r="I25" s="55"/>
      <c r="J25" s="55"/>
      <c r="K25" s="55"/>
      <c r="L25" s="55"/>
      <c r="M25" s="55"/>
      <c r="N25" s="55"/>
      <c r="O25" s="55"/>
      <c r="P25" s="55"/>
      <c r="Q25" s="55"/>
      <c r="R25" s="55"/>
      <c r="S25" s="55"/>
      <c r="T25" s="55"/>
      <c r="U25" s="55"/>
      <c r="V25" s="55"/>
      <c r="W25" s="55"/>
      <c r="X25" s="55"/>
      <c r="Y25" s="55"/>
      <c r="Z25" s="55"/>
      <c r="AA25" s="55"/>
      <c r="AB25" s="55"/>
      <c r="AC25" s="55"/>
      <c r="AD25" s="55"/>
    </row>
    <row r="26">
      <c r="A26" s="130" t="s">
        <v>946</v>
      </c>
      <c r="B26" s="130" t="str">
        <f t="shared" si="1"/>
        <v/>
      </c>
      <c r="C26" s="131"/>
      <c r="D26" s="132"/>
      <c r="E26" s="133"/>
      <c r="F26" s="64"/>
      <c r="G26" s="64"/>
      <c r="H26" s="64"/>
      <c r="I26" s="55"/>
      <c r="J26" s="55"/>
      <c r="K26" s="55"/>
      <c r="L26" s="55"/>
      <c r="M26" s="55"/>
      <c r="N26" s="55"/>
      <c r="O26" s="55"/>
      <c r="P26" s="55"/>
      <c r="Q26" s="55"/>
      <c r="R26" s="55"/>
      <c r="S26" s="55"/>
      <c r="T26" s="55"/>
      <c r="U26" s="55"/>
      <c r="V26" s="55"/>
      <c r="W26" s="55"/>
      <c r="X26" s="55"/>
      <c r="Y26" s="55"/>
      <c r="Z26" s="55"/>
      <c r="AA26" s="55"/>
      <c r="AB26" s="55"/>
      <c r="AC26" s="55"/>
      <c r="AD26" s="55"/>
    </row>
    <row r="27">
      <c r="A27" s="130" t="s">
        <v>947</v>
      </c>
      <c r="B27" s="130" t="str">
        <f t="shared" si="1"/>
        <v/>
      </c>
      <c r="C27" s="131"/>
      <c r="D27" s="132"/>
      <c r="E27" s="133"/>
      <c r="F27" s="64"/>
      <c r="G27" s="64"/>
      <c r="H27" s="64"/>
      <c r="I27" s="55"/>
      <c r="J27" s="55"/>
      <c r="K27" s="55"/>
      <c r="L27" s="55"/>
      <c r="M27" s="55"/>
      <c r="N27" s="55"/>
      <c r="O27" s="55"/>
      <c r="P27" s="55"/>
      <c r="Q27" s="55"/>
      <c r="R27" s="55"/>
      <c r="S27" s="55"/>
      <c r="T27" s="55"/>
      <c r="U27" s="55"/>
      <c r="V27" s="55"/>
      <c r="W27" s="55"/>
      <c r="X27" s="55"/>
      <c r="Y27" s="55"/>
      <c r="Z27" s="55"/>
      <c r="AA27" s="55"/>
      <c r="AB27" s="55"/>
      <c r="AC27" s="55"/>
      <c r="AD27" s="55"/>
    </row>
  </sheetData>
  <drawing r:id="rId2"/>
  <legacyDrawing r:id="rId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8.43"/>
    <col customWidth="1" min="2" max="2" width="27.29"/>
    <col customWidth="1" min="3" max="4" width="3.29"/>
    <col customWidth="1" min="5" max="5" width="3.43"/>
    <col customWidth="1" min="6" max="6" width="4.43"/>
  </cols>
  <sheetData>
    <row r="1">
      <c r="A1" s="86" t="s">
        <v>50</v>
      </c>
      <c r="B1" s="86" t="s">
        <v>234</v>
      </c>
      <c r="C1" s="86" t="s">
        <v>234</v>
      </c>
      <c r="D1" s="86" t="s">
        <v>235</v>
      </c>
      <c r="E1" s="86" t="s">
        <v>119</v>
      </c>
      <c r="F1" s="86" t="s">
        <v>56</v>
      </c>
    </row>
    <row r="2">
      <c r="A2" s="55" t="s">
        <v>236</v>
      </c>
      <c r="B2" s="55"/>
      <c r="C2" s="55"/>
      <c r="D2" s="55">
        <v>0.0</v>
      </c>
      <c r="E2" s="55">
        <v>0.0</v>
      </c>
      <c r="F2" s="55">
        <v>0.0</v>
      </c>
    </row>
    <row r="3">
      <c r="A3" s="228" t="s">
        <v>237</v>
      </c>
      <c r="B3" s="228" t="s">
        <v>238</v>
      </c>
      <c r="C3" s="228">
        <v>1.0</v>
      </c>
      <c r="D3" s="228">
        <v>1.0</v>
      </c>
      <c r="E3" s="228">
        <v>10.0</v>
      </c>
      <c r="F3" s="228">
        <f t="array" ref="F3:F32">(C3:C32^2)*D3:D32</f>
        <v>1</v>
      </c>
    </row>
    <row r="4">
      <c r="A4" s="228" t="s">
        <v>239</v>
      </c>
      <c r="B4" s="228" t="s">
        <v>240</v>
      </c>
      <c r="C4" s="228">
        <v>1.0</v>
      </c>
      <c r="D4" s="228">
        <v>2.0</v>
      </c>
      <c r="E4" s="228">
        <v>10.0</v>
      </c>
      <c r="F4" s="228">
        <v>2.0</v>
      </c>
    </row>
    <row r="5">
      <c r="A5" s="228" t="s">
        <v>241</v>
      </c>
      <c r="B5" s="228" t="s">
        <v>242</v>
      </c>
      <c r="C5" s="228">
        <v>1.0</v>
      </c>
      <c r="D5" s="228">
        <v>3.0</v>
      </c>
      <c r="E5" s="228">
        <v>10.0</v>
      </c>
      <c r="F5" s="228">
        <v>3.0</v>
      </c>
    </row>
    <row r="6">
      <c r="A6" s="228" t="s">
        <v>243</v>
      </c>
      <c r="B6" s="228" t="s">
        <v>244</v>
      </c>
      <c r="C6" s="228">
        <v>1.0</v>
      </c>
      <c r="D6" s="228">
        <v>4.0</v>
      </c>
      <c r="E6" s="228">
        <v>10.0</v>
      </c>
      <c r="F6" s="228">
        <v>4.0</v>
      </c>
    </row>
    <row r="7">
      <c r="A7" s="229" t="s">
        <v>245</v>
      </c>
      <c r="B7" s="229" t="s">
        <v>246</v>
      </c>
      <c r="C7" s="229">
        <v>2.0</v>
      </c>
      <c r="D7" s="229">
        <v>1.0</v>
      </c>
      <c r="E7" s="229">
        <v>15.0</v>
      </c>
      <c r="F7" s="229">
        <v>4.0</v>
      </c>
    </row>
    <row r="8">
      <c r="A8" s="229" t="s">
        <v>247</v>
      </c>
      <c r="B8" s="229" t="s">
        <v>248</v>
      </c>
      <c r="C8" s="229">
        <v>2.0</v>
      </c>
      <c r="D8" s="229">
        <v>2.0</v>
      </c>
      <c r="E8" s="229">
        <v>15.0</v>
      </c>
      <c r="F8" s="229">
        <v>8.0</v>
      </c>
    </row>
    <row r="9">
      <c r="A9" s="229" t="s">
        <v>249</v>
      </c>
      <c r="B9" s="229" t="s">
        <v>250</v>
      </c>
      <c r="C9" s="229">
        <v>2.0</v>
      </c>
      <c r="D9" s="229">
        <v>3.0</v>
      </c>
      <c r="E9" s="229">
        <v>15.0</v>
      </c>
      <c r="F9" s="229">
        <v>12.0</v>
      </c>
    </row>
    <row r="10">
      <c r="A10" s="229" t="s">
        <v>251</v>
      </c>
      <c r="B10" s="229" t="s">
        <v>252</v>
      </c>
      <c r="C10" s="229">
        <v>2.0</v>
      </c>
      <c r="D10" s="229">
        <v>4.0</v>
      </c>
      <c r="E10" s="229">
        <v>15.0</v>
      </c>
      <c r="F10" s="229">
        <v>16.0</v>
      </c>
    </row>
    <row r="11">
      <c r="A11" s="230" t="s">
        <v>253</v>
      </c>
      <c r="B11" s="230" t="s">
        <v>254</v>
      </c>
      <c r="C11" s="230">
        <v>3.0</v>
      </c>
      <c r="D11" s="230">
        <v>1.0</v>
      </c>
      <c r="E11" s="230">
        <v>20.0</v>
      </c>
      <c r="F11" s="230">
        <v>9.0</v>
      </c>
    </row>
    <row r="12">
      <c r="A12" s="230" t="s">
        <v>255</v>
      </c>
      <c r="B12" s="230" t="s">
        <v>256</v>
      </c>
      <c r="C12" s="230">
        <v>3.0</v>
      </c>
      <c r="D12" s="230">
        <v>2.0</v>
      </c>
      <c r="E12" s="230">
        <v>20.0</v>
      </c>
      <c r="F12" s="230">
        <v>18.0</v>
      </c>
    </row>
    <row r="13">
      <c r="A13" s="230" t="s">
        <v>257</v>
      </c>
      <c r="B13" s="230" t="s">
        <v>258</v>
      </c>
      <c r="C13" s="230">
        <v>3.0</v>
      </c>
      <c r="D13" s="230">
        <v>3.0</v>
      </c>
      <c r="E13" s="230">
        <v>20.0</v>
      </c>
      <c r="F13" s="230">
        <v>27.0</v>
      </c>
    </row>
    <row r="14">
      <c r="A14" s="230" t="s">
        <v>259</v>
      </c>
      <c r="B14" s="230" t="s">
        <v>260</v>
      </c>
      <c r="C14" s="230">
        <v>3.0</v>
      </c>
      <c r="D14" s="230">
        <v>4.0</v>
      </c>
      <c r="E14" s="230">
        <v>20.0</v>
      </c>
      <c r="F14" s="230">
        <v>36.0</v>
      </c>
    </row>
    <row r="15">
      <c r="A15" s="231" t="s">
        <v>261</v>
      </c>
      <c r="B15" s="231" t="s">
        <v>262</v>
      </c>
      <c r="C15" s="231">
        <v>4.0</v>
      </c>
      <c r="D15" s="231">
        <v>1.0</v>
      </c>
      <c r="E15" s="231">
        <v>25.0</v>
      </c>
      <c r="F15" s="231">
        <v>16.0</v>
      </c>
    </row>
    <row r="16">
      <c r="A16" s="231" t="s">
        <v>263</v>
      </c>
      <c r="B16" s="231" t="s">
        <v>264</v>
      </c>
      <c r="C16" s="231">
        <v>4.0</v>
      </c>
      <c r="D16" s="231">
        <v>2.0</v>
      </c>
      <c r="E16" s="231">
        <v>25.0</v>
      </c>
      <c r="F16" s="231">
        <v>32.0</v>
      </c>
    </row>
    <row r="17">
      <c r="A17" s="231" t="s">
        <v>265</v>
      </c>
      <c r="B17" s="231" t="s">
        <v>266</v>
      </c>
      <c r="C17" s="231">
        <v>4.0</v>
      </c>
      <c r="D17" s="231">
        <v>3.0</v>
      </c>
      <c r="E17" s="231">
        <v>25.0</v>
      </c>
      <c r="F17" s="231">
        <v>48.0</v>
      </c>
    </row>
    <row r="18">
      <c r="A18" s="143" t="s">
        <v>267</v>
      </c>
      <c r="B18" s="143" t="s">
        <v>268</v>
      </c>
      <c r="C18" s="143">
        <v>5.0</v>
      </c>
      <c r="D18" s="143">
        <v>1.0</v>
      </c>
      <c r="E18" s="143">
        <v>30.0</v>
      </c>
      <c r="F18" s="143">
        <v>25.0</v>
      </c>
    </row>
    <row r="19">
      <c r="A19" s="143" t="s">
        <v>269</v>
      </c>
      <c r="B19" s="143" t="s">
        <v>270</v>
      </c>
      <c r="C19" s="143">
        <v>5.0</v>
      </c>
      <c r="D19" s="143">
        <v>2.0</v>
      </c>
      <c r="E19" s="143">
        <v>30.0</v>
      </c>
      <c r="F19" s="143">
        <v>50.0</v>
      </c>
    </row>
    <row r="20">
      <c r="A20" s="143" t="s">
        <v>271</v>
      </c>
      <c r="B20" s="143" t="s">
        <v>272</v>
      </c>
      <c r="C20" s="143">
        <v>5.0</v>
      </c>
      <c r="D20" s="143">
        <v>3.0</v>
      </c>
      <c r="E20" s="143">
        <v>30.0</v>
      </c>
      <c r="F20" s="143">
        <v>75.0</v>
      </c>
    </row>
    <row r="21">
      <c r="A21" s="232" t="s">
        <v>273</v>
      </c>
      <c r="B21" s="232" t="s">
        <v>274</v>
      </c>
      <c r="C21" s="232">
        <v>6.0</v>
      </c>
      <c r="D21" s="232">
        <v>1.0</v>
      </c>
      <c r="E21" s="232">
        <v>35.0</v>
      </c>
      <c r="F21" s="232">
        <v>36.0</v>
      </c>
    </row>
    <row r="22">
      <c r="A22" s="232" t="s">
        <v>275</v>
      </c>
      <c r="B22" s="232" t="s">
        <v>276</v>
      </c>
      <c r="C22" s="232">
        <v>6.0</v>
      </c>
      <c r="D22" s="232">
        <v>2.0</v>
      </c>
      <c r="E22" s="232">
        <v>35.0</v>
      </c>
      <c r="F22" s="232">
        <v>72.0</v>
      </c>
    </row>
    <row r="23">
      <c r="A23" s="233" t="s">
        <v>277</v>
      </c>
      <c r="B23" s="233" t="s">
        <v>278</v>
      </c>
      <c r="C23" s="233">
        <v>7.0</v>
      </c>
      <c r="D23" s="233">
        <v>1.0</v>
      </c>
      <c r="E23" s="233">
        <v>40.0</v>
      </c>
      <c r="F23" s="233">
        <v>49.0</v>
      </c>
    </row>
    <row r="24">
      <c r="A24" s="233" t="s">
        <v>279</v>
      </c>
      <c r="B24" s="233" t="s">
        <v>280</v>
      </c>
      <c r="C24" s="233">
        <v>7.0</v>
      </c>
      <c r="D24" s="233">
        <v>2.0</v>
      </c>
      <c r="E24" s="233">
        <v>40.0</v>
      </c>
      <c r="F24" s="233">
        <v>98.0</v>
      </c>
    </row>
    <row r="25">
      <c r="A25" s="234" t="s">
        <v>281</v>
      </c>
      <c r="B25" s="235" t="s">
        <v>282</v>
      </c>
      <c r="C25" s="235">
        <v>8.0</v>
      </c>
      <c r="D25" s="235">
        <v>1.0</v>
      </c>
      <c r="E25" s="235">
        <v>45.0</v>
      </c>
      <c r="F25" s="235">
        <v>64.0</v>
      </c>
    </row>
    <row r="26">
      <c r="A26" s="234" t="s">
        <v>283</v>
      </c>
      <c r="B26" s="235" t="s">
        <v>284</v>
      </c>
      <c r="C26" s="235">
        <v>8.0</v>
      </c>
      <c r="D26" s="235">
        <v>2.0</v>
      </c>
      <c r="E26" s="235">
        <v>45.0</v>
      </c>
      <c r="F26" s="235">
        <v>128.0</v>
      </c>
    </row>
    <row r="27">
      <c r="A27" s="236" t="s">
        <v>285</v>
      </c>
      <c r="B27" s="130" t="s">
        <v>286</v>
      </c>
      <c r="C27" s="130">
        <v>9.0</v>
      </c>
      <c r="D27" s="130">
        <v>1.0</v>
      </c>
      <c r="E27" s="130">
        <v>50.0</v>
      </c>
      <c r="F27" s="130">
        <v>81.0</v>
      </c>
    </row>
    <row r="28">
      <c r="A28" s="236" t="s">
        <v>287</v>
      </c>
      <c r="B28" s="130" t="s">
        <v>288</v>
      </c>
      <c r="C28" s="130">
        <v>9.0</v>
      </c>
      <c r="D28" s="130">
        <v>2.0</v>
      </c>
      <c r="E28" s="130">
        <v>50.0</v>
      </c>
      <c r="F28" s="130">
        <v>162.0</v>
      </c>
    </row>
    <row r="29">
      <c r="A29" s="237" t="s">
        <v>289</v>
      </c>
      <c r="B29" s="238" t="s">
        <v>290</v>
      </c>
      <c r="C29" s="238">
        <v>10.0</v>
      </c>
      <c r="D29" s="238">
        <v>1.0</v>
      </c>
      <c r="E29" s="238">
        <v>55.0</v>
      </c>
      <c r="F29" s="238">
        <v>100.0</v>
      </c>
    </row>
    <row r="30">
      <c r="A30" s="237" t="s">
        <v>291</v>
      </c>
      <c r="B30" s="238" t="s">
        <v>292</v>
      </c>
      <c r="C30" s="238">
        <v>10.0</v>
      </c>
      <c r="D30" s="238">
        <v>2.0</v>
      </c>
      <c r="E30" s="238">
        <v>55.0</v>
      </c>
      <c r="F30" s="238">
        <v>200.0</v>
      </c>
    </row>
    <row r="31">
      <c r="A31" s="64"/>
      <c r="B31" s="64"/>
      <c r="C31" s="64"/>
      <c r="D31" s="64"/>
      <c r="E31" s="64"/>
      <c r="F31" s="64">
        <v>0.0</v>
      </c>
    </row>
    <row r="32">
      <c r="A32" s="239" t="s">
        <v>294</v>
      </c>
      <c r="B32" s="240">
        <f>max(1,rounddown(Tier/2,0))</f>
        <v>1</v>
      </c>
      <c r="C32" s="241"/>
      <c r="D32" s="241"/>
      <c r="E32" s="64"/>
      <c r="F32" s="64">
        <v>0.0</v>
      </c>
    </row>
  </sheetData>
  <drawing r:id="rId2"/>
  <legacyDrawing r:id="rId3"/>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23.57"/>
    <col customWidth="1" min="2" max="2" width="6.57"/>
    <col customWidth="1" min="3" max="3" width="4.57"/>
    <col customWidth="1" min="4" max="4" width="3.43"/>
    <col customWidth="1" min="5" max="5" width="20.57"/>
    <col customWidth="1" min="6" max="6" width="3.29"/>
  </cols>
  <sheetData>
    <row r="1">
      <c r="A1" s="86" t="s">
        <v>295</v>
      </c>
      <c r="B1" s="86" t="s">
        <v>296</v>
      </c>
      <c r="C1" s="86" t="s">
        <v>119</v>
      </c>
      <c r="D1" s="86" t="s">
        <v>56</v>
      </c>
      <c r="E1" s="86" t="s">
        <v>297</v>
      </c>
      <c r="F1" s="86" t="s">
        <v>298</v>
      </c>
    </row>
    <row r="2">
      <c r="A2" s="55" t="s">
        <v>299</v>
      </c>
      <c r="B2" s="55" t="s">
        <v>300</v>
      </c>
      <c r="C2" s="55">
        <v>50.0</v>
      </c>
      <c r="D2" s="55">
        <v>4.0</v>
      </c>
      <c r="E2" s="64" t="str">
        <f>if(ShipSize="Tiny",A2,"")</f>
        <v/>
      </c>
      <c r="F2" s="64" t="str">
        <f>if(COUNTIF(Bays,"Power core housing")&gt;0,E2,"")</f>
        <v/>
      </c>
    </row>
    <row r="3">
      <c r="A3" s="55" t="s">
        <v>301</v>
      </c>
      <c r="B3" s="55" t="s">
        <v>300</v>
      </c>
      <c r="C3" s="55">
        <v>70.0</v>
      </c>
      <c r="D3" s="55">
        <v>6.0</v>
      </c>
      <c r="E3" s="64" t="str">
        <f>if(ShipSize="Tiny",A3,"")</f>
        <v/>
      </c>
      <c r="F3" s="64" t="str">
        <f>if(COUNTIF(Bays,"Power core housing")&gt;0,E3,"")</f>
        <v/>
      </c>
    </row>
    <row r="4">
      <c r="A4" s="55" t="s">
        <v>302</v>
      </c>
      <c r="B4" s="55" t="s">
        <v>300</v>
      </c>
      <c r="C4" s="55">
        <v>80.0</v>
      </c>
      <c r="D4" s="55">
        <v>8.0</v>
      </c>
      <c r="E4" s="64" t="str">
        <f>if(ShipSize="Tiny",A4,"")</f>
        <v/>
      </c>
      <c r="F4" s="64" t="str">
        <f>if(COUNTIF(Bays,"Power core housing")&gt;0,E4,"")</f>
        <v/>
      </c>
    </row>
    <row r="5">
      <c r="A5" s="55" t="s">
        <v>303</v>
      </c>
      <c r="B5" s="55" t="s">
        <v>304</v>
      </c>
      <c r="C5" s="55">
        <v>75.0</v>
      </c>
      <c r="D5" s="55">
        <v>7.0</v>
      </c>
      <c r="E5" s="64" t="str">
        <f>if(OR(ShipSize="Tiny",ShipSize="Small"),A5,"")</f>
        <v/>
      </c>
      <c r="F5" s="64" t="str">
        <f>if(COUNTIF(Bays,"Power core housing")&gt;0,E5,"")</f>
        <v/>
      </c>
    </row>
    <row r="6">
      <c r="A6" s="55" t="s">
        <v>305</v>
      </c>
      <c r="B6" s="55" t="s">
        <v>304</v>
      </c>
      <c r="C6" s="55">
        <v>90.0</v>
      </c>
      <c r="D6" s="55">
        <v>9.0</v>
      </c>
      <c r="E6" s="64" t="str">
        <f>if(OR(ShipSize="Tiny",ShipSize="Small"),A6,"")</f>
        <v/>
      </c>
      <c r="F6" s="64" t="str">
        <f>if(COUNTIF(Bays,"Power core housing")&gt;0,E6,"")</f>
        <v/>
      </c>
    </row>
    <row r="7">
      <c r="A7" s="55" t="s">
        <v>306</v>
      </c>
      <c r="B7" s="55" t="s">
        <v>304</v>
      </c>
      <c r="C7" s="55">
        <v>120.0</v>
      </c>
      <c r="D7" s="55">
        <v>12.0</v>
      </c>
      <c r="E7" s="64" t="str">
        <f>if(OR(ShipSize="Tiny",ShipSize="Small"),A7,"")</f>
        <v/>
      </c>
      <c r="F7" s="64" t="str">
        <f>if(COUNTIF(Bays,"Power core housing")&gt;0,E7,"")</f>
        <v/>
      </c>
    </row>
    <row r="8">
      <c r="A8" s="55" t="s">
        <v>307</v>
      </c>
      <c r="B8" s="55" t="s">
        <v>304</v>
      </c>
      <c r="C8" s="55">
        <v>140.0</v>
      </c>
      <c r="D8" s="55">
        <v>14.0</v>
      </c>
      <c r="E8" s="64" t="str">
        <f>if(OR(ShipSize="Tiny",ShipSize="Small"),A8,"")</f>
        <v/>
      </c>
      <c r="F8" s="64" t="str">
        <f>if(COUNTIF(Bays,"Power core housing")&gt;0,E8,"")</f>
        <v/>
      </c>
    </row>
    <row r="9">
      <c r="A9" s="55" t="s">
        <v>308</v>
      </c>
      <c r="B9" s="55" t="s">
        <v>309</v>
      </c>
      <c r="C9" s="55">
        <v>100.0</v>
      </c>
      <c r="D9" s="55">
        <v>10.0</v>
      </c>
      <c r="E9" s="64" t="str">
        <f>if(OR(ShipSize="Tiny",ShipSize="Small",ShipSize="Medium"),A9,"")</f>
        <v/>
      </c>
      <c r="F9" s="64" t="str">
        <f>if(COUNTIF(Bays,"Power core housing")&gt;0,E9,"")</f>
        <v/>
      </c>
    </row>
    <row r="10">
      <c r="A10" s="55" t="s">
        <v>310</v>
      </c>
      <c r="B10" s="55" t="s">
        <v>309</v>
      </c>
      <c r="C10" s="55">
        <v>130.0</v>
      </c>
      <c r="D10" s="55">
        <v>13.0</v>
      </c>
      <c r="E10" s="64" t="str">
        <f>if(OR(ShipSize="Tiny",ShipSize="Small",ShipSize="Medium"),A10,"")</f>
        <v/>
      </c>
      <c r="F10" s="64" t="str">
        <f>if(COUNTIF(Bays,"Power core housing")&gt;0,E10,"")</f>
        <v/>
      </c>
    </row>
    <row r="11">
      <c r="A11" s="55" t="s">
        <v>311</v>
      </c>
      <c r="B11" s="55" t="s">
        <v>309</v>
      </c>
      <c r="C11" s="55">
        <v>150.0</v>
      </c>
      <c r="D11" s="55">
        <v>15.0</v>
      </c>
      <c r="E11" s="64" t="str">
        <f>if(OR(ShipSize="Tiny",ShipSize="Small",ShipSize="Medium"),A11,"")</f>
        <v/>
      </c>
      <c r="F11" s="64" t="str">
        <f>if(COUNTIF(Bays,"Power core housing")&gt;0,E11,"")</f>
        <v/>
      </c>
    </row>
    <row r="12">
      <c r="A12" s="55" t="s">
        <v>312</v>
      </c>
      <c r="B12" s="55" t="s">
        <v>309</v>
      </c>
      <c r="C12" s="55">
        <v>175.0</v>
      </c>
      <c r="D12" s="55">
        <v>17.0</v>
      </c>
      <c r="E12" s="64" t="str">
        <f>if(OR(ShipSize="Tiny",ShipSize="Small",ShipSize="Medium"),A12,"")</f>
        <v/>
      </c>
      <c r="F12" s="64" t="str">
        <f>if(COUNTIF(Bays,"Power core housing")&gt;0,E12,"")</f>
        <v/>
      </c>
    </row>
    <row r="13">
      <c r="A13" s="55" t="s">
        <v>313</v>
      </c>
      <c r="B13" s="55" t="s">
        <v>309</v>
      </c>
      <c r="C13" s="55">
        <v>200.0</v>
      </c>
      <c r="D13" s="55">
        <v>20.0</v>
      </c>
      <c r="E13" s="64" t="str">
        <f>if(OR(ShipSize="Tiny",ShipSize="Small",ShipSize="Medium"),A13,"")</f>
        <v/>
      </c>
      <c r="F13" s="64" t="str">
        <f>if(COUNTIF(Bays,"Power core housing")&gt;0,E13,"")</f>
        <v/>
      </c>
    </row>
    <row r="14">
      <c r="A14" s="55" t="s">
        <v>315</v>
      </c>
      <c r="B14" s="55" t="s">
        <v>316</v>
      </c>
      <c r="C14" s="55">
        <v>150.0</v>
      </c>
      <c r="D14" s="55">
        <v>15.0</v>
      </c>
      <c r="E14" s="64" t="str">
        <f>if(OR(ShipSize="Small",ShipSize="Medium",ShipSize="Large"),A14,"")</f>
        <v/>
      </c>
      <c r="F14" s="64" t="str">
        <f>if(COUNTIF(Bays,"Power core housing")&gt;0,E14,"")</f>
        <v/>
      </c>
    </row>
    <row r="15">
      <c r="A15" s="55" t="s">
        <v>317</v>
      </c>
      <c r="B15" s="55" t="s">
        <v>316</v>
      </c>
      <c r="C15" s="55">
        <v>200.0</v>
      </c>
      <c r="D15" s="55">
        <v>20.0</v>
      </c>
      <c r="E15" s="64" t="str">
        <f>if(OR(ShipSize="Small",ShipSize="Medium",ShipSize="Large"),A15,"")</f>
        <v/>
      </c>
      <c r="F15" s="64" t="str">
        <f>if(COUNTIF(Bays,"Power core housing")&gt;0,E15,"")</f>
        <v/>
      </c>
    </row>
    <row r="16">
      <c r="A16" s="55" t="s">
        <v>318</v>
      </c>
      <c r="B16" s="55" t="s">
        <v>316</v>
      </c>
      <c r="C16" s="55">
        <v>250.0</v>
      </c>
      <c r="D16" s="55">
        <v>25.0</v>
      </c>
      <c r="E16" s="64" t="str">
        <f>if(OR(ShipSize="Small",ShipSize="Medium",ShipSize="Large"),A16,"")</f>
        <v/>
      </c>
      <c r="F16" s="64" t="str">
        <f>if(COUNTIF(Bays,"Power core housing")&gt;0,E16,"")</f>
        <v/>
      </c>
    </row>
    <row r="17">
      <c r="A17" s="55" t="s">
        <v>319</v>
      </c>
      <c r="B17" s="55" t="s">
        <v>316</v>
      </c>
      <c r="C17" s="55">
        <v>300.0</v>
      </c>
      <c r="D17" s="55">
        <v>30.0</v>
      </c>
      <c r="E17" s="64" t="str">
        <f>if(OR(ShipSize="Small",ShipSize="Medium",ShipSize="Large"),A17,"")</f>
        <v/>
      </c>
      <c r="F17" s="64" t="str">
        <f>if(COUNTIF(Bays,"Power core housing")&gt;0,E17,"")</f>
        <v/>
      </c>
    </row>
    <row r="18">
      <c r="A18" s="55" t="s">
        <v>320</v>
      </c>
      <c r="B18" s="55" t="s">
        <v>321</v>
      </c>
      <c r="C18" s="55">
        <v>150.0</v>
      </c>
      <c r="D18" s="55">
        <v>15.0</v>
      </c>
      <c r="E18" s="64" t="str">
        <f>if(OR(ShipSize="Medium",ShipSize="Large",ShipSize="Huge"),A18,"")</f>
        <v/>
      </c>
      <c r="F18" s="64" t="str">
        <f>if(COUNTIF(Bays,"Power core housing")&gt;0,E18,"")</f>
        <v/>
      </c>
    </row>
    <row r="19">
      <c r="A19" s="55" t="s">
        <v>322</v>
      </c>
      <c r="B19" s="55" t="s">
        <v>321</v>
      </c>
      <c r="C19" s="55">
        <v>200.0</v>
      </c>
      <c r="D19" s="55">
        <v>20.0</v>
      </c>
      <c r="E19" s="64" t="str">
        <f>if(OR(ShipSize="Medium",ShipSize="Large",ShipSize="Huge"),A19,"")</f>
        <v/>
      </c>
      <c r="F19" s="64" t="str">
        <f>if(COUNTIF(Bays,"Power core housing")&gt;0,E19,"")</f>
        <v/>
      </c>
    </row>
    <row r="20">
      <c r="A20" s="55" t="s">
        <v>323</v>
      </c>
      <c r="B20" s="55" t="s">
        <v>321</v>
      </c>
      <c r="C20" s="55">
        <v>300.0</v>
      </c>
      <c r="D20" s="55">
        <v>30.0</v>
      </c>
      <c r="E20" s="64" t="str">
        <f>if(OR(ShipSize="Medium",ShipSize="Large",ShipSize="Huge"),A20,"")</f>
        <v/>
      </c>
      <c r="F20" s="64" t="str">
        <f>if(COUNTIF(Bays,"Power core housing")&gt;0,E20,"")</f>
        <v/>
      </c>
    </row>
    <row r="21">
      <c r="A21" s="55" t="s">
        <v>324</v>
      </c>
      <c r="B21" s="55" t="s">
        <v>325</v>
      </c>
      <c r="C21" s="55">
        <v>300.0</v>
      </c>
      <c r="D21" s="55">
        <v>30.0</v>
      </c>
      <c r="E21" s="64" t="str">
        <f>if(OR(ShipSize="Large",ShipSize="Huge",ShipSize="Gargantuan"),A21,"")</f>
        <v/>
      </c>
      <c r="F21" s="64" t="str">
        <f>if(COUNTIF(Bays,"Power core housing")&gt;0,E21,"")</f>
        <v/>
      </c>
    </row>
    <row r="22">
      <c r="A22" s="55" t="s">
        <v>326</v>
      </c>
      <c r="B22" s="55" t="s">
        <v>325</v>
      </c>
      <c r="C22" s="55">
        <v>400.0</v>
      </c>
      <c r="D22" s="55">
        <v>40.0</v>
      </c>
      <c r="E22" s="64" t="str">
        <f>if(OR(ShipSize="Large",ShipSize="Huge",ShipSize="Gargantuan"),A22,"")</f>
        <v/>
      </c>
      <c r="F22" s="64" t="str">
        <f>if(COUNTIF(Bays,"Power core housing")&gt;0,E22,"")</f>
        <v/>
      </c>
    </row>
    <row r="23">
      <c r="A23" s="55" t="s">
        <v>327</v>
      </c>
      <c r="B23" s="55" t="s">
        <v>328</v>
      </c>
      <c r="C23" s="55">
        <v>500.0</v>
      </c>
      <c r="D23" s="55">
        <v>50.0</v>
      </c>
      <c r="E23" s="64" t="str">
        <f>if(OR(ShipSize="Huge",ShipSize="Gargantuan",ShipSize="Colossal"),A23,"")</f>
        <v/>
      </c>
      <c r="F23" s="64" t="str">
        <f>if(COUNTIF(Bays,"Power core housing")&gt;0,E23,"")</f>
        <v/>
      </c>
    </row>
  </sheetData>
  <drawing r:id="rId2"/>
  <legacyDrawing r:id="rId3"/>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ySplit="1.0" topLeftCell="A2" activePane="bottomLeft" state="frozen"/>
      <selection activeCell="B3" sqref="B3" pane="bottomLeft"/>
    </sheetView>
  </sheetViews>
  <sheetFormatPr customHeight="1" defaultColWidth="14.43" defaultRowHeight="15.75"/>
  <cols>
    <col customWidth="1" min="1" max="1" width="14.57"/>
    <col customWidth="1" min="2" max="2" width="3.29"/>
    <col customWidth="1" min="3" max="3" width="31.0"/>
    <col customWidth="1" min="4" max="4" width="3.29"/>
    <col customWidth="1" min="5" max="5" width="31.0"/>
  </cols>
  <sheetData>
    <row r="1" ht="86.25" customHeight="1">
      <c r="A1" s="242" t="s">
        <v>329</v>
      </c>
      <c r="B1" s="242" t="s">
        <v>56</v>
      </c>
      <c r="C1" s="243" t="s">
        <v>330</v>
      </c>
      <c r="D1" s="243" t="s">
        <v>56</v>
      </c>
      <c r="E1" s="243" t="s">
        <v>331</v>
      </c>
    </row>
    <row r="2">
      <c r="A2" s="244" t="s">
        <v>57</v>
      </c>
      <c r="B2" s="244">
        <v>0.0</v>
      </c>
      <c r="C2" s="245" t="s">
        <v>57</v>
      </c>
      <c r="D2" s="245">
        <v>0.0</v>
      </c>
      <c r="E2" s="246" t="str">
        <f>if(ShipSizeNum&lt;&gt;"",C2,"")</f>
        <v/>
      </c>
    </row>
    <row r="3">
      <c r="A3" s="244" t="s">
        <v>332</v>
      </c>
      <c r="B3" s="244">
        <v>3.0</v>
      </c>
      <c r="C3" s="245" t="s">
        <v>333</v>
      </c>
      <c r="D3" s="245">
        <v>4.0</v>
      </c>
      <c r="E3" s="246" t="str">
        <f>if(ShipSizeNum&lt;=3,C3,"")</f>
        <v>l-zero rifle, frostibte-class</v>
      </c>
    </row>
    <row r="4">
      <c r="A4" s="244" t="s">
        <v>335</v>
      </c>
      <c r="B4" s="244">
        <v>6.0</v>
      </c>
      <c r="C4" s="247" t="s">
        <v>336</v>
      </c>
      <c r="D4" s="245">
        <v>8.0</v>
      </c>
      <c r="E4" s="246" t="str">
        <f>if(ShipSizeNum&lt;=3,C4,"")</f>
        <v>l-zero rifle, hailstorm-class</v>
      </c>
    </row>
    <row r="5">
      <c r="A5" s="244" t="s">
        <v>337</v>
      </c>
      <c r="B5" s="244">
        <v>9.0</v>
      </c>
      <c r="C5" s="247" t="s">
        <v>338</v>
      </c>
      <c r="D5" s="245">
        <v>14.0</v>
      </c>
      <c r="E5" s="246" t="str">
        <f>if(ShipSizeNum&lt;=3,C5,"")</f>
        <v>l-zero rifle, blizzard-class</v>
      </c>
    </row>
    <row r="6">
      <c r="A6" s="244" t="s">
        <v>339</v>
      </c>
      <c r="B6" s="244">
        <v>12.0</v>
      </c>
      <c r="C6" s="247" t="s">
        <v>340</v>
      </c>
      <c r="D6" s="245">
        <v>18.0</v>
      </c>
      <c r="E6" s="246" t="str">
        <f>if(ShipSizeNum&lt;=3,C6,"")</f>
        <v>l-zero rifle, avalanche-class</v>
      </c>
    </row>
    <row r="7">
      <c r="A7" s="64"/>
      <c r="B7" s="64"/>
      <c r="C7" s="245" t="s">
        <v>341</v>
      </c>
      <c r="D7" s="245">
        <v>2.0</v>
      </c>
      <c r="E7" s="246" t="str">
        <f>if(ShipSizeNum&lt;=3,C7,"")</f>
        <v>l-flame rifle</v>
      </c>
    </row>
    <row r="8">
      <c r="A8" s="64"/>
      <c r="B8" s="64"/>
      <c r="C8" s="245" t="s">
        <v>342</v>
      </c>
      <c r="D8" s="245">
        <v>1.0</v>
      </c>
      <c r="E8" s="246" t="str">
        <f>if(ShipSizeNum&lt;=3,C8,"")</f>
        <v>l-laser rifle, azimuth</v>
      </c>
    </row>
    <row r="9">
      <c r="A9" s="64"/>
      <c r="B9" s="64"/>
      <c r="C9" s="247" t="s">
        <v>343</v>
      </c>
      <c r="D9" s="245">
        <v>6.0</v>
      </c>
      <c r="E9" s="246" t="str">
        <f>if(ShipSizeNum&lt;=3,C9,"")</f>
        <v>l-laser rifle, corona</v>
      </c>
    </row>
    <row r="10">
      <c r="A10" s="64"/>
      <c r="B10" s="64"/>
      <c r="C10" s="247" t="s">
        <v>344</v>
      </c>
      <c r="D10" s="245">
        <v>9.0</v>
      </c>
      <c r="E10" s="246" t="str">
        <f>if(ShipSizeNum&lt;=3,C10,"")</f>
        <v>l-laser rifle, aphelion</v>
      </c>
    </row>
    <row r="11">
      <c r="A11" s="64"/>
      <c r="B11" s="64"/>
      <c r="C11" s="245" t="s">
        <v>345</v>
      </c>
      <c r="D11" s="245">
        <v>11.0</v>
      </c>
      <c r="E11" s="246" t="str">
        <f>if(ShipSizeNum&lt;=3,C11,"")</f>
        <v>l-autobeam rifle, tacitcal</v>
      </c>
    </row>
    <row r="12">
      <c r="A12" s="64"/>
      <c r="B12" s="64"/>
      <c r="C12" s="245" t="s">
        <v>346</v>
      </c>
      <c r="D12" s="245">
        <v>13.0</v>
      </c>
      <c r="E12" s="246" t="str">
        <f>if(ShipSizeNum&lt;=3,C12,"")</f>
        <v>l-laser rifle, perihelion</v>
      </c>
    </row>
    <row r="13">
      <c r="A13" s="64"/>
      <c r="B13" s="64"/>
      <c r="C13" s="245" t="s">
        <v>347</v>
      </c>
      <c r="D13" s="245">
        <v>15.0</v>
      </c>
      <c r="E13" s="246" t="str">
        <f>if(ShipSizeNum&lt;=3,C13,"")</f>
        <v>l-autobeam rifle, advanced</v>
      </c>
    </row>
    <row r="14">
      <c r="A14" s="64"/>
      <c r="B14" s="64"/>
      <c r="C14" s="245" t="s">
        <v>348</v>
      </c>
      <c r="D14" s="245">
        <v>17.0</v>
      </c>
      <c r="E14" s="246" t="str">
        <f>if(ShipSizeNum&lt;=3,C14,"")</f>
        <v>l-laser rifle, parallax</v>
      </c>
    </row>
    <row r="15">
      <c r="A15" s="64"/>
      <c r="B15" s="64"/>
      <c r="C15" s="247" t="s">
        <v>349</v>
      </c>
      <c r="D15" s="245">
        <v>19.0</v>
      </c>
      <c r="E15" s="246" t="str">
        <f>if(ShipSizeNum&lt;=3,C15,"")</f>
        <v>l-autobeam rifle, elite</v>
      </c>
    </row>
    <row r="16">
      <c r="A16" s="64"/>
      <c r="B16" s="64"/>
      <c r="C16" s="245" t="s">
        <v>350</v>
      </c>
      <c r="D16" s="245">
        <v>20.0</v>
      </c>
      <c r="E16" s="246" t="str">
        <f>if(ShipSizeNum&lt;=3,C16,"")</f>
        <v>l-laser rifle, zenith</v>
      </c>
    </row>
    <row r="17">
      <c r="A17" s="64"/>
      <c r="B17" s="64"/>
      <c r="C17" s="245" t="s">
        <v>351</v>
      </c>
      <c r="D17" s="245">
        <v>6.0</v>
      </c>
      <c r="E17" s="246" t="str">
        <f>if(ShipSizeNum&lt;=3,C17,"")</f>
        <v>l-plasma rifle, red star</v>
      </c>
    </row>
    <row r="18">
      <c r="A18" s="64"/>
      <c r="B18" s="64"/>
      <c r="C18" s="247" t="s">
        <v>352</v>
      </c>
      <c r="D18" s="245">
        <v>10.0</v>
      </c>
      <c r="E18" s="246" t="str">
        <f>if(ShipSizeNum&lt;=3,C18,"")</f>
        <v>l-plasma rifle, yellow star</v>
      </c>
    </row>
    <row r="19">
      <c r="A19" s="64"/>
      <c r="B19" s="64"/>
      <c r="C19" s="247" t="s">
        <v>353</v>
      </c>
      <c r="D19" s="245">
        <v>13.0</v>
      </c>
      <c r="E19" s="246" t="str">
        <f>if(ShipSizeNum&lt;=3,C19,"")</f>
        <v>l-plasma caster, white star</v>
      </c>
    </row>
    <row r="20">
      <c r="A20" s="64"/>
      <c r="B20" s="64"/>
      <c r="C20" s="245" t="s">
        <v>354</v>
      </c>
      <c r="D20" s="245">
        <v>15.0</v>
      </c>
      <c r="E20" s="246" t="str">
        <f>if(ShipSizeNum&lt;=3,C20,"")</f>
        <v>l-plasma rifle, white star</v>
      </c>
    </row>
    <row r="21">
      <c r="A21" s="64"/>
      <c r="B21" s="64"/>
      <c r="C21" s="247" t="s">
        <v>355</v>
      </c>
      <c r="D21" s="245">
        <v>17.0</v>
      </c>
      <c r="E21" s="246" t="str">
        <f>if(ShipSizeNum&lt;=3,C21,"")</f>
        <v>l-plasma caster, blue star</v>
      </c>
    </row>
    <row r="22">
      <c r="A22" s="64"/>
      <c r="B22" s="64"/>
      <c r="C22" s="247" t="s">
        <v>356</v>
      </c>
      <c r="D22" s="245">
        <v>20.0</v>
      </c>
      <c r="E22" s="246" t="str">
        <f>if(ShipSizeNum&lt;=3,C22,"")</f>
        <v>l-plasma rifle, blue star</v>
      </c>
    </row>
    <row r="23">
      <c r="A23" s="64"/>
      <c r="B23" s="64"/>
      <c r="C23" s="245" t="s">
        <v>357</v>
      </c>
      <c r="D23" s="245">
        <v>1.0</v>
      </c>
      <c r="E23" s="246" t="str">
        <f>if(ShipSizeNum&lt;=3,C23,"")</f>
        <v>l-hunting rifle</v>
      </c>
    </row>
    <row r="24">
      <c r="A24" s="64"/>
      <c r="B24" s="64"/>
      <c r="C24" s="245" t="s">
        <v>358</v>
      </c>
      <c r="D24" s="245">
        <v>1.0</v>
      </c>
      <c r="E24" s="246" t="str">
        <f>if(ShipSizeNum&lt;=3,C24,"")</f>
        <v>l-scattergun, utility</v>
      </c>
    </row>
    <row r="25">
      <c r="A25" s="64"/>
      <c r="B25" s="64"/>
      <c r="C25" s="247" t="s">
        <v>359</v>
      </c>
      <c r="D25" s="245">
        <v>2.0</v>
      </c>
      <c r="E25" s="246" t="str">
        <f>if(ShipSizeNum&lt;=3,C25,"")</f>
        <v>l-acid dart rifle, tactical</v>
      </c>
    </row>
    <row r="26">
      <c r="A26" s="64"/>
      <c r="B26" s="64"/>
      <c r="C26" s="247" t="s">
        <v>360</v>
      </c>
      <c r="D26" s="245">
        <v>2.0</v>
      </c>
      <c r="E26" s="246" t="str">
        <f>if(ShipSizeNum&lt;=3,C26,"")</f>
        <v>l-autotarget rifle</v>
      </c>
    </row>
    <row r="27">
      <c r="A27" s="64"/>
      <c r="B27" s="64"/>
      <c r="C27" s="247" t="s">
        <v>361</v>
      </c>
      <c r="D27" s="245">
        <v>2.0</v>
      </c>
      <c r="E27" s="246" t="str">
        <f>if(ShipSizeNum&lt;=3,C27,"")</f>
        <v>l-crossbolter, tactical</v>
      </c>
    </row>
    <row r="28">
      <c r="A28" s="64"/>
      <c r="B28" s="64"/>
      <c r="C28" s="247" t="s">
        <v>362</v>
      </c>
      <c r="D28" s="245">
        <v>7.0</v>
      </c>
      <c r="E28" s="246" t="str">
        <f>if(ShipSizeNum&lt;=3,C28,"")</f>
        <v>l-acid dart rifle, dual</v>
      </c>
    </row>
    <row r="29">
      <c r="A29" s="64"/>
      <c r="B29" s="64"/>
      <c r="C29" s="247" t="s">
        <v>363</v>
      </c>
      <c r="D29" s="245">
        <v>7.0</v>
      </c>
      <c r="E29" s="246" t="str">
        <f>if(ShipSizeNum&lt;=3,C29,"")</f>
        <v>l-seeker rifle, tactical</v>
      </c>
    </row>
    <row r="30">
      <c r="A30" s="64"/>
      <c r="B30" s="64"/>
      <c r="C30" s="245" t="s">
        <v>364</v>
      </c>
      <c r="D30" s="245">
        <v>8.0</v>
      </c>
      <c r="E30" s="246" t="str">
        <f>if(ShipSizeNum&lt;=3,C30,"")</f>
        <v>l-crossbolter, dual</v>
      </c>
    </row>
    <row r="31">
      <c r="A31" s="64"/>
      <c r="B31" s="64"/>
      <c r="C31" s="247" t="s">
        <v>365</v>
      </c>
      <c r="D31" s="245">
        <v>8.0</v>
      </c>
      <c r="E31" s="246" t="str">
        <f>if(ShipSizeNum&lt;=3,C31,"")</f>
        <v>l-scattergun, snub</v>
      </c>
    </row>
    <row r="32">
      <c r="A32" s="64"/>
      <c r="B32" s="64"/>
      <c r="C32" s="247" t="s">
        <v>366</v>
      </c>
      <c r="D32" s="245">
        <v>9.0</v>
      </c>
      <c r="E32" s="246" t="str">
        <f>if(ShipSizeNum&lt;=3,C32,"")</f>
        <v>l-magnetar rifle,tactical</v>
      </c>
    </row>
    <row r="33">
      <c r="A33" s="64"/>
      <c r="B33" s="64"/>
      <c r="C33" s="247" t="s">
        <v>367</v>
      </c>
      <c r="D33" s="245">
        <v>10.0</v>
      </c>
      <c r="E33" s="246" t="str">
        <f>if(ShipSizeNum&lt;=3,C33,"")</f>
        <v>l-combat rifle</v>
      </c>
    </row>
    <row r="34">
      <c r="A34" s="64"/>
      <c r="B34" s="64"/>
      <c r="C34" s="247" t="s">
        <v>368</v>
      </c>
      <c r="D34" s="245">
        <v>12.0</v>
      </c>
      <c r="E34" s="246" t="str">
        <f>if(ShipSizeNum&lt;=3,C34,"")</f>
        <v>l-acid dart rifle, comlpex</v>
      </c>
    </row>
    <row r="35">
      <c r="A35" s="64"/>
      <c r="B35" s="64"/>
      <c r="C35" s="247" t="s">
        <v>369</v>
      </c>
      <c r="D35" s="245">
        <v>12.0</v>
      </c>
      <c r="E35" s="246" t="str">
        <f>if(ShipSizeNum&lt;=3,C35,"")</f>
        <v>l-scattergun, impact</v>
      </c>
    </row>
    <row r="36">
      <c r="A36" s="64"/>
      <c r="B36" s="64"/>
      <c r="C36" s="247" t="s">
        <v>370</v>
      </c>
      <c r="D36" s="245">
        <v>13.0</v>
      </c>
      <c r="E36" s="246" t="str">
        <f>if(ShipSizeNum&lt;=3,C36,"")</f>
        <v>l-gyrojet rifle, tactical</v>
      </c>
    </row>
    <row r="37">
      <c r="A37" s="64"/>
      <c r="B37" s="64"/>
      <c r="C37" s="247" t="s">
        <v>371</v>
      </c>
      <c r="D37" s="245">
        <v>13.0</v>
      </c>
      <c r="E37" s="246" t="str">
        <f>if(ShipSizeNum&lt;=3,C37,"")</f>
        <v>l-magnetar rifle, advanced</v>
      </c>
    </row>
    <row r="38">
      <c r="A38" s="64"/>
      <c r="B38" s="64"/>
      <c r="C38" s="247" t="s">
        <v>372</v>
      </c>
      <c r="D38" s="245">
        <v>14.0</v>
      </c>
      <c r="E38" s="246" t="str">
        <f>if(ShipSizeNum&lt;=3,C38,"")</f>
        <v>l-seeker rifle, advanced</v>
      </c>
    </row>
    <row r="39">
      <c r="A39" s="64"/>
      <c r="B39" s="64"/>
      <c r="C39" s="247" t="s">
        <v>373</v>
      </c>
      <c r="D39" s="245">
        <v>15.0</v>
      </c>
      <c r="E39" s="246" t="str">
        <f>if(ShipSizeNum&lt;=3,C39,"")</f>
        <v>l-gyrojet rifle, advanced</v>
      </c>
    </row>
    <row r="40">
      <c r="A40" s="64"/>
      <c r="B40" s="64"/>
      <c r="C40" s="247" t="s">
        <v>374</v>
      </c>
      <c r="D40" s="245">
        <v>15.0</v>
      </c>
      <c r="E40" s="246" t="str">
        <f>if(ShipSizeNum&lt;=3,C40,"")</f>
        <v>l-scattergun, vortex</v>
      </c>
    </row>
    <row r="41">
      <c r="A41" s="64"/>
      <c r="B41" s="64"/>
      <c r="C41" s="247" t="s">
        <v>375</v>
      </c>
      <c r="D41" s="245">
        <v>16.0</v>
      </c>
      <c r="E41" s="246" t="str">
        <f>if(ShipSizeNum&lt;=3,C41,"")</f>
        <v>l-magnetar rifle, elite</v>
      </c>
    </row>
    <row r="42">
      <c r="A42" s="64"/>
      <c r="B42" s="64"/>
      <c r="C42" s="247" t="s">
        <v>376</v>
      </c>
      <c r="D42" s="245">
        <v>17.0</v>
      </c>
      <c r="E42" s="246" t="str">
        <f>if(ShipSizeNum&lt;=3,C42,"")</f>
        <v>l-gyrojet rifle, elite</v>
      </c>
    </row>
    <row r="43">
      <c r="A43" s="64"/>
      <c r="B43" s="64"/>
      <c r="C43" s="247" t="s">
        <v>377</v>
      </c>
      <c r="D43" s="245">
        <v>17.0</v>
      </c>
      <c r="E43" s="246" t="str">
        <f>if(ShipSizeNum&lt;=3,C43,"")</f>
        <v>l-seeker rifle, elite</v>
      </c>
    </row>
    <row r="44">
      <c r="A44" s="64"/>
      <c r="B44" s="64"/>
      <c r="C44" s="247" t="s">
        <v>378</v>
      </c>
      <c r="D44" s="245">
        <v>18.0</v>
      </c>
      <c r="E44" s="246" t="str">
        <f>if(ShipSizeNum&lt;=3,C44,"")</f>
        <v>l-scattergun, grapeshot</v>
      </c>
    </row>
    <row r="45">
      <c r="A45" s="64"/>
      <c r="B45" s="64"/>
      <c r="C45" s="247" t="s">
        <v>379</v>
      </c>
      <c r="D45" s="245">
        <v>19.0</v>
      </c>
      <c r="E45" s="246" t="str">
        <f>if(ShipSizeNum&lt;=3,C45,"")</f>
        <v>l-magnetar rifle, paragon</v>
      </c>
    </row>
    <row r="46">
      <c r="A46" s="64"/>
      <c r="B46" s="64"/>
      <c r="C46" s="247" t="s">
        <v>380</v>
      </c>
      <c r="D46" s="245">
        <v>20.0</v>
      </c>
      <c r="E46" s="246" t="str">
        <f>if(ShipSizeNum&lt;=3,C46,"")</f>
        <v>l-gyrojet rifle, paragon</v>
      </c>
    </row>
    <row r="47">
      <c r="A47" s="64"/>
      <c r="B47" s="64"/>
      <c r="C47" s="247" t="s">
        <v>381</v>
      </c>
      <c r="D47" s="245">
        <v>20.0</v>
      </c>
      <c r="E47" s="246" t="str">
        <f>if(ShipSizeNum&lt;=3,C47,"")</f>
        <v>l-seeker rifle, paragon</v>
      </c>
    </row>
    <row r="48">
      <c r="A48" s="64"/>
      <c r="B48" s="64"/>
      <c r="C48" s="245" t="s">
        <v>382</v>
      </c>
      <c r="D48" s="245">
        <v>1.0</v>
      </c>
      <c r="E48" s="246" t="str">
        <f>if(ShipSizeNum&lt;=3,C48,"")</f>
        <v>l-pulsecaster rifle</v>
      </c>
    </row>
    <row r="49">
      <c r="A49" s="64"/>
      <c r="B49" s="64"/>
      <c r="C49" s="245" t="s">
        <v>384</v>
      </c>
      <c r="D49" s="245">
        <v>2.0</v>
      </c>
      <c r="E49" s="246" t="str">
        <f>if(ShipSizeNum&lt;=3,C49,"")</f>
        <v>l-arc emitter,tactical</v>
      </c>
    </row>
    <row r="50">
      <c r="A50" s="64"/>
      <c r="B50" s="64"/>
      <c r="C50" s="245" t="s">
        <v>385</v>
      </c>
      <c r="D50" s="245">
        <v>6.0</v>
      </c>
      <c r="E50" s="246" t="str">
        <f>if(ShipSizeNum&lt;=3,C50,"")</f>
        <v>l-arc rifle, staitc</v>
      </c>
    </row>
    <row r="51">
      <c r="A51" s="64"/>
      <c r="B51" s="64"/>
      <c r="C51" s="247" t="s">
        <v>386</v>
      </c>
      <c r="D51" s="245">
        <v>9.0</v>
      </c>
      <c r="E51" s="246" t="str">
        <f>if(ShipSizeNum&lt;=3,C51,"")</f>
        <v>l-arc emitter, advanced</v>
      </c>
    </row>
    <row r="52">
      <c r="A52" s="64"/>
      <c r="B52" s="64"/>
      <c r="C52" s="247" t="s">
        <v>387</v>
      </c>
      <c r="D52" s="245">
        <v>11.0</v>
      </c>
      <c r="E52" s="246" t="str">
        <f>if(ShipSizeNum&lt;=3,C52,"")</f>
        <v>l-arc rifle, aurora</v>
      </c>
    </row>
    <row r="53">
      <c r="A53" s="64"/>
      <c r="B53" s="64"/>
      <c r="C53" s="245" t="s">
        <v>388</v>
      </c>
      <c r="D53" s="245">
        <v>16.0</v>
      </c>
      <c r="E53" s="246" t="str">
        <f>if(ShipSizeNum&lt;=3,C53,"")</f>
        <v>l-arc rifle, storm</v>
      </c>
    </row>
    <row r="54">
      <c r="A54" s="64"/>
      <c r="B54" s="64"/>
      <c r="C54" s="245" t="s">
        <v>389</v>
      </c>
      <c r="D54" s="245">
        <v>19.0</v>
      </c>
      <c r="E54" s="246" t="str">
        <f>if(ShipSizeNum&lt;=3,C54,"")</f>
        <v>l-arc rifle, tempest</v>
      </c>
    </row>
    <row r="55">
      <c r="A55" s="64"/>
      <c r="B55" s="64"/>
      <c r="C55" s="245" t="s">
        <v>390</v>
      </c>
      <c r="D55" s="245">
        <v>5.0</v>
      </c>
      <c r="E55" s="246" t="str">
        <f>if(ShipSizeNum&lt;=3,C55,"")</f>
        <v>l-sonic rifle, thunderstrike</v>
      </c>
    </row>
    <row r="56">
      <c r="A56" s="64"/>
      <c r="B56" s="64"/>
      <c r="C56" s="245" t="s">
        <v>391</v>
      </c>
      <c r="D56" s="245">
        <v>7.0</v>
      </c>
      <c r="E56" s="246" t="str">
        <f>if(ShipSizeNum&lt;=3,C56,"")</f>
        <v>l-streetsweeper, thunderstrike</v>
      </c>
    </row>
    <row r="57">
      <c r="A57" s="64"/>
      <c r="B57" s="64"/>
      <c r="C57" s="245" t="s">
        <v>392</v>
      </c>
      <c r="D57" s="245">
        <v>10.0</v>
      </c>
      <c r="E57" s="246" t="str">
        <f>if(ShipSizeNum&lt;=3,C57,"")</f>
        <v>l-sonic rifle, lfd</v>
      </c>
    </row>
    <row r="58">
      <c r="A58" s="64"/>
      <c r="B58" s="64"/>
      <c r="C58" s="245" t="s">
        <v>393</v>
      </c>
      <c r="D58" s="245">
        <v>12.0</v>
      </c>
      <c r="E58" s="246" t="str">
        <f>if(ShipSizeNum&lt;=3,C58,"")</f>
        <v>l-streetsweeper, lfd</v>
      </c>
    </row>
    <row r="59">
      <c r="A59" s="64"/>
      <c r="B59" s="64"/>
      <c r="C59" s="247" t="s">
        <v>394</v>
      </c>
      <c r="D59" s="245">
        <v>14.0</v>
      </c>
      <c r="E59" s="246" t="str">
        <f>if(ShipSizeNum&lt;=3,C59,"")</f>
        <v>l-sonic rifle, hfd</v>
      </c>
    </row>
    <row r="60">
      <c r="A60" s="64"/>
      <c r="B60" s="64"/>
      <c r="C60" s="247" t="s">
        <v>395</v>
      </c>
      <c r="D60" s="245">
        <v>16.0</v>
      </c>
      <c r="E60" s="246" t="str">
        <f>if(ShipSizeNum&lt;=3,C60,"")</f>
        <v>l-streetsweeper, hfd</v>
      </c>
    </row>
    <row r="61">
      <c r="A61" s="64"/>
      <c r="B61" s="64"/>
      <c r="C61" s="247" t="s">
        <v>396</v>
      </c>
      <c r="D61" s="245">
        <v>18.0</v>
      </c>
      <c r="E61" s="246" t="str">
        <f>if(ShipSizeNum&lt;=3,C61,"")</f>
        <v>l-sonic rifle, banshee</v>
      </c>
    </row>
    <row r="62">
      <c r="A62" s="64"/>
      <c r="B62" s="64"/>
      <c r="C62" s="245" t="s">
        <v>397</v>
      </c>
      <c r="D62" s="245">
        <v>1.0</v>
      </c>
      <c r="E62" s="246" t="str">
        <f>if(ShipSizeNum&lt;=3,C62,"")</f>
        <v>l-needler rifle</v>
      </c>
    </row>
    <row r="63">
      <c r="A63" s="64"/>
      <c r="B63" s="64"/>
      <c r="C63" s="245" t="s">
        <v>398</v>
      </c>
      <c r="D63" s="250">
        <v>16.0</v>
      </c>
      <c r="E63" s="246" t="str">
        <f>if(ShipSizeNum&lt;=3,C63,"")</f>
        <v>h-zero cannon, tactical</v>
      </c>
    </row>
    <row r="64">
      <c r="A64" s="64"/>
      <c r="B64" s="64"/>
      <c r="C64" s="245" t="s">
        <v>399</v>
      </c>
      <c r="D64" s="250">
        <v>19.0</v>
      </c>
      <c r="E64" s="246" t="str">
        <f>if(ShipSizeNum&lt;=3,C64,"")</f>
        <v>h-zero cannon, advanced</v>
      </c>
    </row>
    <row r="65">
      <c r="A65" s="64"/>
      <c r="B65" s="64"/>
      <c r="C65" s="245" t="s">
        <v>400</v>
      </c>
      <c r="D65" s="250">
        <v>23.0</v>
      </c>
      <c r="E65" s="246" t="str">
        <f>if(ShipSizeNum&lt;=3,C65,"")</f>
        <v>h-zero cannon, elite</v>
      </c>
    </row>
    <row r="66">
      <c r="A66" s="64"/>
      <c r="B66" s="64"/>
      <c r="C66" s="245" t="s">
        <v>401</v>
      </c>
      <c r="D66" s="250">
        <v>7.0</v>
      </c>
      <c r="E66" s="246" t="str">
        <f>if(ShipSizeNum&lt;=3,C66,"")</f>
        <v>h-flamethrower, ifrit-class</v>
      </c>
    </row>
    <row r="67">
      <c r="A67" s="64"/>
      <c r="B67" s="64"/>
      <c r="C67" s="245" t="s">
        <v>402</v>
      </c>
      <c r="D67" s="250">
        <v>13.0</v>
      </c>
      <c r="E67" s="246" t="str">
        <f>if(ShipSizeNum&lt;=3,C67,"")</f>
        <v>h-flamethrower, salamander-class</v>
      </c>
    </row>
    <row r="68">
      <c r="A68" s="64"/>
      <c r="B68" s="64"/>
      <c r="C68" s="245" t="s">
        <v>403</v>
      </c>
      <c r="D68" s="250">
        <v>17.0</v>
      </c>
      <c r="E68" s="246" t="str">
        <f>if(ShipSizeNum&lt;=3,C68,"")</f>
        <v>h-flamethrower, hellhound-class</v>
      </c>
    </row>
    <row r="69">
      <c r="A69" s="64"/>
      <c r="B69" s="64"/>
      <c r="C69" s="245" t="s">
        <v>404</v>
      </c>
      <c r="D69" s="250">
        <v>20.0</v>
      </c>
      <c r="E69" s="246" t="str">
        <f>if(ShipSizeNum&lt;=3,C69,"")</f>
        <v>h-flamethrower, firedrake-class</v>
      </c>
    </row>
    <row r="70">
      <c r="A70" s="64"/>
      <c r="B70" s="64"/>
      <c r="C70" s="245" t="s">
        <v>405</v>
      </c>
      <c r="D70" s="250">
        <v>23.0</v>
      </c>
      <c r="E70" s="246" t="str">
        <f>if(ShipSizeNum&lt;=3,C70,"")</f>
        <v>h-flamethrower, phoenix-class</v>
      </c>
    </row>
    <row r="71">
      <c r="A71" s="64"/>
      <c r="B71" s="64"/>
      <c r="C71" s="245" t="s">
        <v>406</v>
      </c>
      <c r="D71" s="250">
        <v>6.0</v>
      </c>
      <c r="E71" s="246" t="str">
        <f>if(ShipSizeNum&lt;=3,C71,"")</f>
        <v>h-artillery laser, azimuth</v>
      </c>
    </row>
    <row r="72">
      <c r="A72" s="64"/>
      <c r="B72" s="64"/>
      <c r="C72" s="245" t="s">
        <v>407</v>
      </c>
      <c r="D72" s="250">
        <v>11.0</v>
      </c>
      <c r="E72" s="246" t="str">
        <f>if(ShipSizeNum&lt;=3,C72,"")</f>
        <v>h-artillery laser, corona</v>
      </c>
    </row>
    <row r="73">
      <c r="A73" s="64"/>
      <c r="B73" s="64"/>
      <c r="C73" s="245" t="s">
        <v>408</v>
      </c>
      <c r="D73" s="250">
        <v>14.0</v>
      </c>
      <c r="E73" s="246" t="str">
        <f>if(ShipSizeNum&lt;=3,C73,"")</f>
        <v>h-artillery laser, aphellion</v>
      </c>
    </row>
    <row r="74">
      <c r="A74" s="64"/>
      <c r="B74" s="64"/>
      <c r="C74" s="245" t="s">
        <v>409</v>
      </c>
      <c r="D74" s="250">
        <v>15.0</v>
      </c>
      <c r="E74" s="246" t="str">
        <f>if(ShipSizeNum&lt;=3,C74,"")</f>
        <v>h-autobeam artillery, tactical</v>
      </c>
    </row>
    <row r="75">
      <c r="A75" s="64"/>
      <c r="B75" s="64"/>
      <c r="C75" s="245" t="s">
        <v>410</v>
      </c>
      <c r="D75" s="250">
        <v>18.0</v>
      </c>
      <c r="E75" s="246" t="str">
        <f>if(ShipSizeNum&lt;=3,C75,"")</f>
        <v>h-artillery laser, perihelion</v>
      </c>
    </row>
    <row r="76">
      <c r="A76" s="64"/>
      <c r="B76" s="64"/>
      <c r="C76" s="245" t="s">
        <v>411</v>
      </c>
      <c r="D76" s="250">
        <v>21.0</v>
      </c>
      <c r="E76" s="246" t="str">
        <f>if(ShipSizeNum&lt;=3,C76,"")</f>
        <v>h-autobeam artillery, advanced</v>
      </c>
    </row>
    <row r="77">
      <c r="A77" s="64"/>
      <c r="B77" s="64"/>
      <c r="C77" s="245" t="s">
        <v>412</v>
      </c>
      <c r="D77" s="250">
        <v>22.0</v>
      </c>
      <c r="E77" s="246" t="str">
        <f>if(ShipSizeNum&lt;=3,C77,"")</f>
        <v>h-artillery laser, parallax</v>
      </c>
    </row>
    <row r="78">
      <c r="A78" s="64"/>
      <c r="B78" s="64"/>
      <c r="C78" s="245" t="s">
        <v>413</v>
      </c>
      <c r="D78" s="250">
        <v>24.0</v>
      </c>
      <c r="E78" s="246" t="str">
        <f>if(ShipSizeNum&lt;=3,C78,"")</f>
        <v>h-autobeam artillery, elite</v>
      </c>
    </row>
    <row r="79">
      <c r="A79" s="64"/>
      <c r="B79" s="64"/>
      <c r="C79" s="245" t="s">
        <v>414</v>
      </c>
      <c r="D79" s="250">
        <v>25.0</v>
      </c>
      <c r="E79" s="246" t="str">
        <f>if(ShipSizeNum&lt;=3,C79,"")</f>
        <v>h-artillery laser, zenith</v>
      </c>
    </row>
    <row r="80">
      <c r="A80" s="64"/>
      <c r="B80" s="64"/>
      <c r="C80" s="245" t="s">
        <v>415</v>
      </c>
      <c r="D80" s="250">
        <v>19.0</v>
      </c>
      <c r="E80" s="246" t="str">
        <f>if(ShipSizeNum&lt;=3,C80,"")</f>
        <v>h-plasma cannon, yellow star</v>
      </c>
    </row>
    <row r="81">
      <c r="A81" s="64"/>
      <c r="B81" s="64"/>
      <c r="C81" s="245" t="s">
        <v>416</v>
      </c>
      <c r="D81" s="250">
        <v>21.0</v>
      </c>
      <c r="E81" s="246" t="str">
        <f>if(ShipSizeNum&lt;=3,C81,"")</f>
        <v>h-plasma cannon, white star</v>
      </c>
    </row>
    <row r="82">
      <c r="A82" s="64"/>
      <c r="B82" s="64"/>
      <c r="C82" s="245" t="s">
        <v>417</v>
      </c>
      <c r="D82" s="250">
        <v>13.0</v>
      </c>
      <c r="E82" s="246" t="str">
        <f>if(ShipSizeNum&lt;=3,C82,"")</f>
        <v>h-plasma cannon, red star</v>
      </c>
    </row>
    <row r="83">
      <c r="A83" s="64"/>
      <c r="B83" s="64"/>
      <c r="C83" s="245" t="s">
        <v>418</v>
      </c>
      <c r="D83" s="250">
        <v>25.0</v>
      </c>
      <c r="E83" s="246" t="str">
        <f>if(ShipSizeNum&lt;=3,C83,"")</f>
        <v>h-plasma cannon, blue star</v>
      </c>
    </row>
    <row r="84">
      <c r="A84" s="64"/>
      <c r="B84" s="64"/>
      <c r="C84" s="245" t="s">
        <v>419</v>
      </c>
      <c r="D84" s="250">
        <v>6.0</v>
      </c>
      <c r="E84" s="246" t="str">
        <f>if(ShipSizeNum&lt;=3,C84,"")</f>
        <v>h-reaction cannon, light</v>
      </c>
    </row>
    <row r="85">
      <c r="A85" s="64"/>
      <c r="B85" s="64"/>
      <c r="C85" s="245" t="s">
        <v>420</v>
      </c>
      <c r="D85" s="250">
        <v>9.0</v>
      </c>
      <c r="E85" s="246" t="str">
        <f>if(ShipSizeNum&lt;=3,C85,"")</f>
        <v>h-machine gun, squad</v>
      </c>
    </row>
    <row r="86">
      <c r="A86" s="64"/>
      <c r="B86" s="64"/>
      <c r="C86" s="245" t="s">
        <v>421</v>
      </c>
      <c r="D86" s="250">
        <v>11.0</v>
      </c>
      <c r="E86" s="246" t="str">
        <f>if(ShipSizeNum&lt;=3,C86,"")</f>
        <v>h-x-gen gun, tactical</v>
      </c>
    </row>
    <row r="87">
      <c r="A87" s="64"/>
      <c r="B87" s="64"/>
      <c r="C87" s="245" t="s">
        <v>422</v>
      </c>
      <c r="D87" s="250">
        <v>12.0</v>
      </c>
      <c r="E87" s="246" t="str">
        <f>if(ShipSizeNum&lt;=3,C87,"")</f>
        <v>h-reaction cannon, tactical</v>
      </c>
    </row>
    <row r="88">
      <c r="A88" s="64"/>
      <c r="B88" s="64"/>
      <c r="C88" s="245" t="s">
        <v>423</v>
      </c>
      <c r="D88" s="250">
        <v>13.0</v>
      </c>
      <c r="E88" s="246" t="str">
        <f>if(ShipSizeNum&lt;=3,C88,"")</f>
        <v>h-machine gun, light</v>
      </c>
    </row>
    <row r="89">
      <c r="A89" s="64"/>
      <c r="B89" s="64"/>
      <c r="C89" s="245" t="s">
        <v>424</v>
      </c>
      <c r="D89" s="250">
        <v>14.0</v>
      </c>
      <c r="E89" s="246" t="str">
        <f>if(ShipSizeNum&lt;=3,C89,"")</f>
        <v>h-x-gen gun, advanced</v>
      </c>
    </row>
    <row r="90">
      <c r="A90" s="64"/>
      <c r="B90" s="64"/>
      <c r="C90" s="245" t="s">
        <v>425</v>
      </c>
      <c r="D90" s="250">
        <v>15.0</v>
      </c>
      <c r="E90" s="246" t="str">
        <f>if(ShipSizeNum&lt;=3,C90,"")</f>
        <v>h-reaction cannon, heavy</v>
      </c>
    </row>
    <row r="91">
      <c r="A91" s="64"/>
      <c r="B91" s="64"/>
      <c r="C91" s="245" t="s">
        <v>426</v>
      </c>
      <c r="D91" s="250">
        <v>15.0</v>
      </c>
      <c r="E91" s="246" t="str">
        <f>if(ShipSizeNum&lt;=3,C91,"")</f>
        <v>h-stellar cannon, light</v>
      </c>
    </row>
    <row r="92">
      <c r="A92" s="64"/>
      <c r="B92" s="64"/>
      <c r="C92" s="245" t="s">
        <v>427</v>
      </c>
      <c r="D92" s="250">
        <v>16.0</v>
      </c>
      <c r="E92" s="246" t="str">
        <f>if(ShipSizeNum&lt;=3,C92,"")</f>
        <v>h-crosbolter, advanced</v>
      </c>
    </row>
    <row r="93">
      <c r="A93" s="64"/>
      <c r="B93" s="64"/>
      <c r="C93" s="245" t="s">
        <v>428</v>
      </c>
      <c r="D93" s="250">
        <v>16.0</v>
      </c>
      <c r="E93" s="246" t="str">
        <f>if(ShipSizeNum&lt;=3,C93,"")</f>
        <v>h-machine gun, medium</v>
      </c>
    </row>
    <row r="94">
      <c r="A94" s="64"/>
      <c r="B94" s="64"/>
      <c r="C94" s="245" t="s">
        <v>429</v>
      </c>
      <c r="D94" s="250">
        <v>18.0</v>
      </c>
      <c r="E94" s="246" t="str">
        <f>if(ShipSizeNum&lt;=3,C94,"")</f>
        <v>h-x-gen gun, elite</v>
      </c>
    </row>
    <row r="95">
      <c r="A95" s="64"/>
      <c r="B95" s="64"/>
      <c r="C95" s="245" t="s">
        <v>430</v>
      </c>
      <c r="D95" s="250">
        <v>19.0</v>
      </c>
      <c r="E95" s="246" t="str">
        <f>if(ShipSizeNum&lt;=3,C95,"")</f>
        <v>h-crossbolter, elite</v>
      </c>
    </row>
    <row r="96">
      <c r="A96" s="64"/>
      <c r="B96" s="64"/>
      <c r="C96" s="245" t="s">
        <v>431</v>
      </c>
      <c r="D96" s="250">
        <v>19.0</v>
      </c>
      <c r="E96" s="246" t="str">
        <f>if(ShipSizeNum&lt;=3,C96,"")</f>
        <v>h-reaction cannon, advanced</v>
      </c>
    </row>
    <row r="97">
      <c r="A97" s="64"/>
      <c r="B97" s="64"/>
      <c r="C97" s="245" t="s">
        <v>432</v>
      </c>
      <c r="D97" s="250">
        <v>20.0</v>
      </c>
      <c r="E97" s="246" t="str">
        <f>if(ShipSizeNum&lt;=3,C97,"")</f>
        <v>h-stellar cannon, heavy</v>
      </c>
    </row>
    <row r="98">
      <c r="A98" s="64"/>
      <c r="B98" s="64"/>
      <c r="C98" s="245" t="s">
        <v>433</v>
      </c>
      <c r="D98" s="250">
        <v>22.0</v>
      </c>
      <c r="E98" s="246" t="str">
        <f>if(ShipSizeNum&lt;=3,C98,"")</f>
        <v>h-machine gun, heavy</v>
      </c>
    </row>
    <row r="99">
      <c r="A99" s="64"/>
      <c r="B99" s="64"/>
      <c r="C99" s="245" t="s">
        <v>434</v>
      </c>
      <c r="D99" s="250">
        <v>22.0</v>
      </c>
      <c r="E99" s="246" t="str">
        <f>if(ShipSizeNum&lt;=3,C99,"")</f>
        <v>h-reaction cannon, elite</v>
      </c>
    </row>
    <row r="100">
      <c r="A100" s="64"/>
      <c r="B100" s="64"/>
      <c r="C100" s="245" t="s">
        <v>435</v>
      </c>
      <c r="D100" s="250">
        <v>23.0</v>
      </c>
      <c r="E100" s="246" t="str">
        <f>if(ShipSizeNum&lt;=3,C100,"")</f>
        <v>h-crossbolter, paragon</v>
      </c>
    </row>
    <row r="101">
      <c r="A101" s="64"/>
      <c r="B101" s="64"/>
      <c r="C101" s="245" t="s">
        <v>436</v>
      </c>
      <c r="D101" s="250">
        <v>25.0</v>
      </c>
      <c r="E101" s="246" t="str">
        <f>if(ShipSizeNum&lt;=3,C101,"")</f>
        <v>h-reaction cannon, paragon</v>
      </c>
    </row>
    <row r="102">
      <c r="A102" s="64"/>
      <c r="B102" s="64"/>
      <c r="C102" s="245" t="s">
        <v>437</v>
      </c>
      <c r="D102" s="250">
        <v>25.0</v>
      </c>
      <c r="E102" s="246" t="str">
        <f>if(ShipSizeNum&lt;=3,C102,"")</f>
        <v>h-x-gen gun, paragon</v>
      </c>
    </row>
    <row r="103">
      <c r="A103" s="64"/>
      <c r="B103" s="64"/>
      <c r="C103" s="245" t="s">
        <v>438</v>
      </c>
      <c r="D103" s="250">
        <v>11.0</v>
      </c>
      <c r="E103" s="246" t="str">
        <f>if(ShipSizeNum&lt;=3,C103,"")</f>
        <v>h-shock caster, static</v>
      </c>
    </row>
    <row r="104">
      <c r="A104" s="64"/>
      <c r="B104" s="64"/>
      <c r="C104" s="245" t="s">
        <v>439</v>
      </c>
      <c r="D104" s="250">
        <v>15.0</v>
      </c>
      <c r="E104" s="246" t="str">
        <f>if(ShipSizeNum&lt;=3,C104,"")</f>
        <v>h-shock caster, aurora</v>
      </c>
    </row>
    <row r="105">
      <c r="A105" s="64"/>
      <c r="B105" s="64"/>
      <c r="C105" s="245" t="s">
        <v>440</v>
      </c>
      <c r="D105" s="250">
        <v>21.0</v>
      </c>
      <c r="E105" s="246" t="str">
        <f>if(ShipSizeNum&lt;=3,C105,"")</f>
        <v>h-shock caster, storm</v>
      </c>
    </row>
    <row r="106">
      <c r="A106" s="64"/>
      <c r="B106" s="64"/>
      <c r="C106" s="245" t="s">
        <v>441</v>
      </c>
      <c r="D106" s="250">
        <v>25.0</v>
      </c>
      <c r="E106" s="246" t="str">
        <f>if(ShipSizeNum&lt;=3,C106,"")</f>
        <v>h-shock caster, tempest</v>
      </c>
    </row>
    <row r="107">
      <c r="A107" s="64"/>
      <c r="B107" s="64"/>
      <c r="C107" s="245" t="s">
        <v>442</v>
      </c>
      <c r="D107" s="250">
        <v>10.0</v>
      </c>
      <c r="E107" s="246" t="str">
        <f>if(ShipSizeNum&lt;=3,C107,"")</f>
        <v>h-screamer, thunderstrike</v>
      </c>
    </row>
    <row r="108">
      <c r="A108" s="64"/>
      <c r="B108" s="64"/>
      <c r="C108" s="245" t="s">
        <v>443</v>
      </c>
      <c r="D108" s="250">
        <v>14.0</v>
      </c>
      <c r="E108" s="246" t="str">
        <f>if(ShipSizeNum&lt;=3,C108,"")</f>
        <v>h-screamer, lfd</v>
      </c>
    </row>
    <row r="109">
      <c r="A109" s="64"/>
      <c r="B109" s="64"/>
      <c r="C109" s="245" t="s">
        <v>444</v>
      </c>
      <c r="D109" s="250">
        <v>20.0</v>
      </c>
      <c r="E109" s="246" t="str">
        <f>if(ShipSizeNum&lt;=3,C109,"")</f>
        <v>h-screamer, hfd</v>
      </c>
    </row>
    <row r="110">
      <c r="A110" s="64"/>
      <c r="B110" s="64"/>
      <c r="C110" s="245" t="s">
        <v>445</v>
      </c>
      <c r="D110" s="250">
        <v>6.0</v>
      </c>
      <c r="E110" s="246" t="str">
        <f>if(ShipSizeNum&lt;=3,C110,"")</f>
        <v>h-nil grenate launcher, merc</v>
      </c>
    </row>
    <row r="111">
      <c r="A111" s="64"/>
      <c r="B111" s="64"/>
      <c r="C111" s="245" t="s">
        <v>446</v>
      </c>
      <c r="D111" s="250">
        <v>13.0</v>
      </c>
      <c r="E111" s="246" t="str">
        <f>if(ShipSizeNum&lt;=3,C111,"")</f>
        <v>h-nil grenade launcher, squad</v>
      </c>
    </row>
    <row r="112">
      <c r="A112" s="64"/>
      <c r="B112" s="64"/>
      <c r="C112" s="245" t="s">
        <v>447</v>
      </c>
      <c r="D112" s="250">
        <v>15.0</v>
      </c>
      <c r="E112" s="246" t="str">
        <f>if(ShipSizeNum&lt;=3,C112,"")</f>
        <v>h-imds missile launcher</v>
      </c>
    </row>
  </sheetData>
  <drawing r:id="rId2"/>
  <legacyDrawing r:id="rId3"/>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34.14"/>
    <col customWidth="1" min="2" max="2" width="8.0"/>
    <col customWidth="1" min="3" max="4" width="3.29"/>
  </cols>
  <sheetData>
    <row r="1">
      <c r="A1" s="86" t="s">
        <v>448</v>
      </c>
      <c r="B1" s="86" t="s">
        <v>449</v>
      </c>
      <c r="C1" s="86" t="s">
        <v>450</v>
      </c>
      <c r="D1" s="86" t="s">
        <v>56</v>
      </c>
    </row>
    <row r="2">
      <c r="A2" s="228" t="s">
        <v>57</v>
      </c>
      <c r="B2" s="228"/>
      <c r="C2" s="228">
        <v>0.0</v>
      </c>
      <c r="D2" s="228">
        <v>0.0</v>
      </c>
    </row>
    <row r="3">
      <c r="A3" s="228" t="s">
        <v>451</v>
      </c>
      <c r="B3" s="228" t="s">
        <v>452</v>
      </c>
      <c r="C3" s="228">
        <v>-2.0</v>
      </c>
      <c r="D3" s="228">
        <v>1.0</v>
      </c>
    </row>
    <row r="4">
      <c r="A4" s="228" t="s">
        <v>453</v>
      </c>
      <c r="B4" s="228" t="s">
        <v>452</v>
      </c>
      <c r="C4" s="228" t="s">
        <v>454</v>
      </c>
      <c r="D4" s="228">
        <v>2.0</v>
      </c>
    </row>
    <row r="5">
      <c r="A5" s="228" t="s">
        <v>455</v>
      </c>
      <c r="B5" s="228" t="s">
        <v>452</v>
      </c>
      <c r="C5" s="228" t="s">
        <v>456</v>
      </c>
      <c r="D5" s="228">
        <v>3.0</v>
      </c>
    </row>
    <row r="6">
      <c r="A6" s="228" t="s">
        <v>457</v>
      </c>
      <c r="B6" s="228" t="s">
        <v>452</v>
      </c>
      <c r="C6" s="228" t="s">
        <v>458</v>
      </c>
      <c r="D6" s="228">
        <v>4.0</v>
      </c>
    </row>
    <row r="7">
      <c r="A7" s="229" t="s">
        <v>459</v>
      </c>
      <c r="B7" s="229" t="s">
        <v>162</v>
      </c>
      <c r="C7" s="229" t="s">
        <v>454</v>
      </c>
      <c r="D7" s="229">
        <v>3.0</v>
      </c>
    </row>
    <row r="8">
      <c r="A8" s="229" t="s">
        <v>460</v>
      </c>
      <c r="B8" s="229" t="s">
        <v>162</v>
      </c>
      <c r="C8" s="229" t="s">
        <v>456</v>
      </c>
      <c r="D8" s="229">
        <v>5.0</v>
      </c>
    </row>
    <row r="9">
      <c r="A9" s="229" t="s">
        <v>461</v>
      </c>
      <c r="B9" s="229" t="s">
        <v>162</v>
      </c>
      <c r="C9" s="229" t="s">
        <v>458</v>
      </c>
      <c r="D9" s="229">
        <v>8.0</v>
      </c>
    </row>
    <row r="10">
      <c r="A10" s="230" t="s">
        <v>462</v>
      </c>
      <c r="B10" s="230" t="s">
        <v>463</v>
      </c>
      <c r="C10" s="230" t="s">
        <v>454</v>
      </c>
      <c r="D10" s="230">
        <v>6.0</v>
      </c>
    </row>
    <row r="11">
      <c r="A11" s="230" t="s">
        <v>464</v>
      </c>
      <c r="B11" s="230" t="s">
        <v>463</v>
      </c>
      <c r="C11" s="230" t="s">
        <v>456</v>
      </c>
      <c r="D11" s="230">
        <v>10.0</v>
      </c>
    </row>
    <row r="12">
      <c r="A12" s="230" t="s">
        <v>465</v>
      </c>
      <c r="B12" s="230" t="s">
        <v>463</v>
      </c>
      <c r="C12" s="230" t="s">
        <v>458</v>
      </c>
      <c r="D12" s="230">
        <v>14.0</v>
      </c>
    </row>
  </sheetData>
  <drawing r:id="rId2"/>
  <legacyDrawing r:id="rId3"/>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9.14"/>
    <col customWidth="1" min="2" max="2" width="4.57"/>
    <col customWidth="1" min="3" max="3" width="7.43"/>
    <col customWidth="1" min="4" max="4" width="4.0"/>
    <col customWidth="1" min="5" max="5" width="3.43"/>
    <col customWidth="1" min="6" max="6" width="39.14"/>
  </cols>
  <sheetData>
    <row r="1">
      <c r="A1" s="86" t="s">
        <v>466</v>
      </c>
      <c r="B1" s="86" t="s">
        <v>467</v>
      </c>
      <c r="C1" s="86" t="s">
        <v>468</v>
      </c>
      <c r="D1" s="86" t="s">
        <v>119</v>
      </c>
      <c r="E1" s="86" t="s">
        <v>469</v>
      </c>
      <c r="F1" s="86" t="s">
        <v>470</v>
      </c>
    </row>
    <row r="2">
      <c r="A2" s="228" t="s">
        <v>57</v>
      </c>
      <c r="B2" s="228">
        <v>0.0</v>
      </c>
      <c r="C2" s="228">
        <v>0.0</v>
      </c>
      <c r="D2" s="228">
        <v>0.0</v>
      </c>
      <c r="E2" s="228">
        <v>0.0</v>
      </c>
      <c r="F2" s="228"/>
    </row>
    <row r="3">
      <c r="A3" s="228" t="s">
        <v>471</v>
      </c>
      <c r="B3" s="228">
        <v>10.0</v>
      </c>
      <c r="C3" s="228" t="s">
        <v>472</v>
      </c>
      <c r="D3" s="228">
        <v>5.0</v>
      </c>
      <c r="E3" s="228">
        <v>2.0</v>
      </c>
      <c r="F3" s="228" t="s">
        <v>473</v>
      </c>
    </row>
    <row r="4">
      <c r="A4" s="228" t="s">
        <v>474</v>
      </c>
      <c r="B4" s="228">
        <v>20.0</v>
      </c>
      <c r="C4" s="228" t="s">
        <v>472</v>
      </c>
      <c r="D4" s="228">
        <v>10.0</v>
      </c>
      <c r="E4" s="228">
        <v>3.0</v>
      </c>
      <c r="F4" s="228" t="s">
        <v>475</v>
      </c>
    </row>
    <row r="5">
      <c r="A5" s="228" t="s">
        <v>476</v>
      </c>
      <c r="B5" s="228">
        <v>30.0</v>
      </c>
      <c r="C5" s="228" t="s">
        <v>472</v>
      </c>
      <c r="D5" s="228">
        <v>15.0</v>
      </c>
      <c r="E5" s="228">
        <v>4.0</v>
      </c>
      <c r="F5" s="228" t="s">
        <v>477</v>
      </c>
    </row>
    <row r="6">
      <c r="A6" s="228" t="s">
        <v>478</v>
      </c>
      <c r="B6" s="228">
        <v>40.0</v>
      </c>
      <c r="C6" s="228" t="s">
        <v>472</v>
      </c>
      <c r="D6" s="228">
        <v>15.0</v>
      </c>
      <c r="E6" s="228">
        <v>5.0</v>
      </c>
      <c r="F6" s="228" t="s">
        <v>479</v>
      </c>
    </row>
    <row r="7">
      <c r="A7" s="229" t="s">
        <v>480</v>
      </c>
      <c r="B7" s="229">
        <v>50.0</v>
      </c>
      <c r="C7" s="229" t="s">
        <v>481</v>
      </c>
      <c r="D7" s="229">
        <v>20.0</v>
      </c>
      <c r="E7" s="229">
        <v>6.0</v>
      </c>
      <c r="F7" s="229" t="s">
        <v>482</v>
      </c>
    </row>
    <row r="8">
      <c r="A8" s="229" t="s">
        <v>483</v>
      </c>
      <c r="B8" s="229">
        <v>60.0</v>
      </c>
      <c r="C8" s="229" t="s">
        <v>481</v>
      </c>
      <c r="D8" s="229">
        <v>20.0</v>
      </c>
      <c r="E8" s="229">
        <v>8.0</v>
      </c>
      <c r="F8" s="229" t="s">
        <v>484</v>
      </c>
    </row>
    <row r="9">
      <c r="A9" s="229" t="s">
        <v>485</v>
      </c>
      <c r="B9" s="229">
        <v>70.0</v>
      </c>
      <c r="C9" s="229" t="s">
        <v>481</v>
      </c>
      <c r="D9" s="229">
        <v>25.0</v>
      </c>
      <c r="E9" s="229">
        <v>10.0</v>
      </c>
      <c r="F9" s="229" t="s">
        <v>486</v>
      </c>
    </row>
    <row r="10">
      <c r="A10" s="229" t="s">
        <v>487</v>
      </c>
      <c r="B10" s="229">
        <v>80.0</v>
      </c>
      <c r="C10" s="229" t="s">
        <v>481</v>
      </c>
      <c r="D10" s="229">
        <v>30.0</v>
      </c>
      <c r="E10" s="229">
        <v>12.0</v>
      </c>
      <c r="F10" s="229" t="s">
        <v>488</v>
      </c>
    </row>
    <row r="11">
      <c r="A11" s="230" t="s">
        <v>489</v>
      </c>
      <c r="B11" s="230">
        <v>90.0</v>
      </c>
      <c r="C11" s="230" t="s">
        <v>490</v>
      </c>
      <c r="D11" s="230">
        <v>30.0</v>
      </c>
      <c r="E11" s="230">
        <v>13.0</v>
      </c>
      <c r="F11" s="230" t="s">
        <v>491</v>
      </c>
    </row>
    <row r="12">
      <c r="A12" s="230" t="s">
        <v>492</v>
      </c>
      <c r="B12" s="230">
        <v>100.0</v>
      </c>
      <c r="C12" s="230" t="s">
        <v>490</v>
      </c>
      <c r="D12" s="230">
        <v>30.0</v>
      </c>
      <c r="E12" s="230">
        <v>15.0</v>
      </c>
      <c r="F12" s="230" t="s">
        <v>493</v>
      </c>
    </row>
    <row r="13">
      <c r="A13" s="230" t="s">
        <v>494</v>
      </c>
      <c r="B13" s="230">
        <v>120.0</v>
      </c>
      <c r="C13" s="230" t="s">
        <v>490</v>
      </c>
      <c r="D13" s="230">
        <v>35.0</v>
      </c>
      <c r="E13" s="230">
        <v>17.0</v>
      </c>
      <c r="F13" s="230" t="s">
        <v>495</v>
      </c>
    </row>
    <row r="14">
      <c r="A14" s="230" t="s">
        <v>496</v>
      </c>
      <c r="B14" s="230">
        <v>140.0</v>
      </c>
      <c r="C14" s="230" t="s">
        <v>497</v>
      </c>
      <c r="D14" s="230">
        <v>40.0</v>
      </c>
      <c r="E14" s="230">
        <v>18.0</v>
      </c>
      <c r="F14" s="230" t="s">
        <v>498</v>
      </c>
    </row>
    <row r="15">
      <c r="A15" s="230" t="s">
        <v>499</v>
      </c>
      <c r="B15" s="230">
        <v>160.0</v>
      </c>
      <c r="C15" s="230" t="s">
        <v>497</v>
      </c>
      <c r="D15" s="230">
        <v>45.0</v>
      </c>
      <c r="E15" s="230">
        <v>20.0</v>
      </c>
      <c r="F15" s="230" t="s">
        <v>500</v>
      </c>
    </row>
    <row r="16">
      <c r="A16" s="230" t="s">
        <v>501</v>
      </c>
      <c r="B16" s="230">
        <v>200.0</v>
      </c>
      <c r="C16" s="230" t="s">
        <v>497</v>
      </c>
      <c r="D16" s="230">
        <v>50.0</v>
      </c>
      <c r="E16" s="230">
        <v>22.0</v>
      </c>
      <c r="F16" s="230" t="s">
        <v>502</v>
      </c>
    </row>
    <row r="17">
      <c r="A17" s="231" t="s">
        <v>503</v>
      </c>
      <c r="B17" s="231">
        <v>240.0</v>
      </c>
      <c r="C17" s="231" t="s">
        <v>504</v>
      </c>
      <c r="D17" s="231">
        <v>55.0</v>
      </c>
      <c r="E17" s="231">
        <v>23.0</v>
      </c>
      <c r="F17" s="231" t="s">
        <v>505</v>
      </c>
    </row>
    <row r="18">
      <c r="A18" s="231" t="s">
        <v>506</v>
      </c>
      <c r="B18" s="231">
        <v>280.0</v>
      </c>
      <c r="C18" s="231" t="s">
        <v>504</v>
      </c>
      <c r="D18" s="231">
        <v>60.0</v>
      </c>
      <c r="E18" s="231">
        <v>25.0</v>
      </c>
      <c r="F18" s="231" t="s">
        <v>507</v>
      </c>
    </row>
    <row r="19">
      <c r="A19" s="231" t="s">
        <v>508</v>
      </c>
      <c r="B19" s="231">
        <v>320.0</v>
      </c>
      <c r="C19" s="231" t="s">
        <v>504</v>
      </c>
      <c r="D19" s="231">
        <v>70.0</v>
      </c>
      <c r="E19" s="231">
        <v>27.0</v>
      </c>
      <c r="F19" s="231" t="s">
        <v>509</v>
      </c>
    </row>
    <row r="20">
      <c r="A20" s="231" t="s">
        <v>510</v>
      </c>
      <c r="B20" s="231">
        <v>360.0</v>
      </c>
      <c r="C20" s="231" t="s">
        <v>511</v>
      </c>
      <c r="D20" s="231">
        <v>80.0</v>
      </c>
      <c r="E20" s="231">
        <v>28.0</v>
      </c>
      <c r="F20" s="231" t="s">
        <v>512</v>
      </c>
    </row>
    <row r="21">
      <c r="A21" s="231" t="s">
        <v>513</v>
      </c>
      <c r="B21" s="231">
        <v>420.0</v>
      </c>
      <c r="C21" s="231" t="s">
        <v>511</v>
      </c>
      <c r="D21" s="231">
        <v>90.0</v>
      </c>
      <c r="E21" s="231">
        <v>30.0</v>
      </c>
      <c r="F21" s="231" t="s">
        <v>514</v>
      </c>
    </row>
    <row r="22">
      <c r="A22" s="231" t="s">
        <v>515</v>
      </c>
      <c r="B22" s="231">
        <v>480.0</v>
      </c>
      <c r="C22" s="231" t="s">
        <v>511</v>
      </c>
      <c r="D22" s="231">
        <v>110.0</v>
      </c>
      <c r="E22" s="231">
        <v>32.0</v>
      </c>
      <c r="F22" s="231" t="s">
        <v>516</v>
      </c>
    </row>
    <row r="23">
      <c r="A23" s="143" t="s">
        <v>517</v>
      </c>
      <c r="B23" s="143">
        <v>540.0</v>
      </c>
      <c r="C23" s="143" t="s">
        <v>518</v>
      </c>
      <c r="D23" s="143">
        <v>130.0</v>
      </c>
      <c r="E23" s="143">
        <v>35.0</v>
      </c>
      <c r="F23" s="143" t="s">
        <v>519</v>
      </c>
    </row>
    <row r="24">
      <c r="A24" s="143" t="s">
        <v>520</v>
      </c>
      <c r="B24" s="143">
        <v>600.0</v>
      </c>
      <c r="C24" s="143" t="s">
        <v>518</v>
      </c>
      <c r="D24" s="143">
        <v>160.0</v>
      </c>
      <c r="E24" s="143">
        <v>40.0</v>
      </c>
      <c r="F24" s="143" t="s">
        <v>521</v>
      </c>
    </row>
    <row r="25">
      <c r="A25" s="143" t="s">
        <v>177</v>
      </c>
      <c r="B25" s="143"/>
      <c r="C25" s="143"/>
      <c r="D25" s="143"/>
      <c r="E25" s="143"/>
      <c r="F25" s="143">
        <f t="array" ref="F25">iferror(index(ShieldBalanceT,match(Shield,ShieldChoice,0)),0)</f>
        <v>0</v>
      </c>
    </row>
  </sheetData>
  <drawing r:id="rId2"/>
  <legacyDrawing r:id="rId3"/>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2" width="14.86"/>
    <col customWidth="1" min="3" max="3" width="11.43"/>
    <col customWidth="1" min="4" max="4" width="17.71"/>
    <col customWidth="1" min="5" max="5" width="24.71"/>
    <col customWidth="1" min="6" max="7" width="3.29"/>
    <col customWidth="1" min="8" max="8" width="4.43"/>
    <col customWidth="1" min="9" max="9" width="3.43"/>
    <col customWidth="1" min="10" max="10" width="3.29"/>
    <col customWidth="1" min="11" max="11" width="3.43"/>
    <col customWidth="1" min="12" max="12" width="103.0"/>
    <col customWidth="1" min="13" max="13" width="17.29"/>
    <col customWidth="1" min="14" max="14" width="7.0"/>
    <col customWidth="1" min="15" max="15" width="13.57"/>
    <col customWidth="1" min="16" max="17" width="6.57"/>
    <col customWidth="1" min="18" max="18" width="16.0"/>
    <col customWidth="1" min="19" max="19" width="7.0"/>
    <col customWidth="1" min="20" max="22" width="6.57"/>
    <col customWidth="1" min="23" max="23" width="19.29"/>
    <col customWidth="1" min="24" max="24" width="7.0"/>
    <col customWidth="1" min="25" max="27" width="6.57"/>
    <col customWidth="1" min="28" max="28" width="13.0"/>
    <col customWidth="1" min="29" max="29" width="6.57"/>
    <col customWidth="1" min="30" max="32" width="3.29"/>
    <col customWidth="1" min="33" max="33" width="15.57"/>
    <col customWidth="1" min="34" max="35" width="6.57"/>
    <col customWidth="1" min="36" max="37" width="5.0"/>
    <col customWidth="1" min="38" max="38" width="5.57"/>
    <col customWidth="1" min="39" max="39" width="4.0"/>
    <col customWidth="1" min="40" max="40" width="4.57"/>
    <col customWidth="1" min="41" max="41" width="4.43"/>
    <col customWidth="1" min="42" max="42" width="38.86"/>
  </cols>
  <sheetData>
    <row r="1" ht="83.25" customHeight="1">
      <c r="A1" s="251" t="s">
        <v>522</v>
      </c>
      <c r="B1" s="53" t="s">
        <v>523</v>
      </c>
      <c r="C1" s="251" t="s">
        <v>296</v>
      </c>
      <c r="D1" s="53" t="s">
        <v>524</v>
      </c>
      <c r="E1" s="251" t="s">
        <v>525</v>
      </c>
      <c r="F1" s="53" t="s">
        <v>526</v>
      </c>
      <c r="G1" s="53" t="s">
        <v>527</v>
      </c>
      <c r="H1" s="251" t="s">
        <v>16</v>
      </c>
      <c r="I1" s="53" t="s">
        <v>528</v>
      </c>
      <c r="J1" s="251" t="s">
        <v>17</v>
      </c>
      <c r="K1" s="251" t="s">
        <v>21</v>
      </c>
      <c r="L1" s="251" t="s">
        <v>529</v>
      </c>
      <c r="M1" s="252" t="s">
        <v>530</v>
      </c>
      <c r="N1" s="53" t="s">
        <v>531</v>
      </c>
      <c r="O1" s="53" t="s">
        <v>532</v>
      </c>
      <c r="P1" s="53" t="s">
        <v>533</v>
      </c>
      <c r="Q1" s="53" t="s">
        <v>534</v>
      </c>
      <c r="R1" s="252" t="s">
        <v>535</v>
      </c>
      <c r="S1" s="53" t="s">
        <v>536</v>
      </c>
      <c r="T1" s="53" t="s">
        <v>537</v>
      </c>
      <c r="U1" s="53" t="s">
        <v>538</v>
      </c>
      <c r="V1" s="53" t="s">
        <v>539</v>
      </c>
      <c r="W1" s="252" t="s">
        <v>540</v>
      </c>
      <c r="X1" s="53" t="s">
        <v>541</v>
      </c>
      <c r="Y1" s="53" t="s">
        <v>542</v>
      </c>
      <c r="Z1" s="53" t="s">
        <v>543</v>
      </c>
      <c r="AA1" s="53" t="s">
        <v>544</v>
      </c>
      <c r="AB1" s="252" t="s">
        <v>545</v>
      </c>
      <c r="AC1" s="53" t="s">
        <v>546</v>
      </c>
      <c r="AD1" s="53" t="s">
        <v>547</v>
      </c>
      <c r="AE1" s="53" t="s">
        <v>548</v>
      </c>
      <c r="AF1" s="53" t="s">
        <v>549</v>
      </c>
      <c r="AG1" s="252" t="s">
        <v>550</v>
      </c>
      <c r="AH1" s="53" t="s">
        <v>551</v>
      </c>
      <c r="AI1" s="53" t="s">
        <v>552</v>
      </c>
      <c r="AJ1" s="53" t="s">
        <v>553</v>
      </c>
      <c r="AK1" s="53" t="s">
        <v>554</v>
      </c>
      <c r="AL1" s="251" t="s">
        <v>38</v>
      </c>
      <c r="AM1" s="251" t="s">
        <v>555</v>
      </c>
      <c r="AN1" s="251" t="s">
        <v>556</v>
      </c>
      <c r="AO1" s="251" t="s">
        <v>557</v>
      </c>
      <c r="AP1" s="53" t="s">
        <v>558</v>
      </c>
    </row>
    <row r="2">
      <c r="A2" s="253" t="s">
        <v>559</v>
      </c>
      <c r="B2" s="254" t="str">
        <f>if(BPtotal&lt;$AO2,"",A2)</f>
        <v/>
      </c>
      <c r="C2" s="254" t="s">
        <v>560</v>
      </c>
      <c r="D2" s="253" t="str">
        <f>"perfect (turn 0"&amp;if(ArmorTurn&lt;&gt;"","+"&amp;ArmorTurn)&amp;")"</f>
        <v>perfect (turn 0FALSE)</v>
      </c>
      <c r="E2" s="253" t="s">
        <v>561</v>
      </c>
      <c r="F2" s="253">
        <v>2.0</v>
      </c>
      <c r="G2" s="253">
        <v>0.0</v>
      </c>
      <c r="H2" s="253">
        <v>20.0</v>
      </c>
      <c r="I2" s="253">
        <v>5.0</v>
      </c>
      <c r="J2" s="255" t="s">
        <v>57</v>
      </c>
      <c r="K2" s="255">
        <v>4.0</v>
      </c>
      <c r="L2" s="255" t="s">
        <v>562</v>
      </c>
      <c r="M2" s="256" t="s">
        <v>563</v>
      </c>
      <c r="N2" s="253" t="s">
        <v>564</v>
      </c>
      <c r="O2" s="253"/>
      <c r="P2" s="253"/>
      <c r="Q2" s="253"/>
      <c r="R2" s="256"/>
      <c r="S2" s="253"/>
      <c r="T2" s="253"/>
      <c r="U2" s="253"/>
      <c r="V2" s="253"/>
      <c r="W2" s="256"/>
      <c r="X2" s="253"/>
      <c r="Y2" s="253"/>
      <c r="Z2" s="253"/>
      <c r="AA2" s="253"/>
      <c r="AB2" s="256" t="s">
        <v>563</v>
      </c>
      <c r="AC2" s="253" t="s">
        <v>564</v>
      </c>
      <c r="AD2" s="253"/>
      <c r="AE2" s="253"/>
      <c r="AF2" s="253"/>
      <c r="AG2" s="256"/>
      <c r="AH2" s="253"/>
      <c r="AI2" s="253"/>
      <c r="AJ2" s="253"/>
      <c r="AK2" s="253"/>
      <c r="AL2" s="253">
        <v>0.0</v>
      </c>
      <c r="AM2" s="255">
        <v>1.0</v>
      </c>
      <c r="AN2" s="255">
        <v>1.0</v>
      </c>
      <c r="AO2" s="255">
        <v>4.0</v>
      </c>
      <c r="AP2" s="253" t="s">
        <v>57</v>
      </c>
    </row>
    <row r="3">
      <c r="A3" s="253" t="s">
        <v>565</v>
      </c>
      <c r="B3" s="254" t="str">
        <f>if(BPtotal&lt;$AO3,"",A3)</f>
        <v/>
      </c>
      <c r="C3" s="253" t="s">
        <v>560</v>
      </c>
      <c r="D3" s="253" t="s">
        <v>566</v>
      </c>
      <c r="E3" s="253" t="s">
        <v>561</v>
      </c>
      <c r="F3" s="253">
        <v>2.0</v>
      </c>
      <c r="G3" s="253">
        <v>0.0</v>
      </c>
      <c r="H3" s="253">
        <v>30.0</v>
      </c>
      <c r="I3" s="253">
        <v>5.0</v>
      </c>
      <c r="J3" s="253" t="s">
        <v>57</v>
      </c>
      <c r="K3" s="253">
        <v>6.0</v>
      </c>
      <c r="L3" s="253" t="s">
        <v>567</v>
      </c>
      <c r="M3" s="256" t="s">
        <v>568</v>
      </c>
      <c r="N3" s="253" t="s">
        <v>564</v>
      </c>
      <c r="O3" s="253" t="s">
        <v>564</v>
      </c>
      <c r="P3" s="253"/>
      <c r="Q3" s="253"/>
      <c r="R3" s="256"/>
      <c r="S3" s="253"/>
      <c r="T3" s="253"/>
      <c r="U3" s="253"/>
      <c r="V3" s="253"/>
      <c r="W3" s="256"/>
      <c r="X3" s="253"/>
      <c r="Y3" s="253"/>
      <c r="Z3" s="253"/>
      <c r="AA3" s="253"/>
      <c r="AB3" s="256"/>
      <c r="AC3" s="253"/>
      <c r="AD3" s="253"/>
      <c r="AE3" s="253"/>
      <c r="AF3" s="253"/>
      <c r="AG3" s="256"/>
      <c r="AH3" s="253"/>
      <c r="AI3" s="253"/>
      <c r="AJ3" s="253"/>
      <c r="AK3" s="253"/>
      <c r="AL3" s="253">
        <v>0.0</v>
      </c>
      <c r="AM3" s="253">
        <v>1.0</v>
      </c>
      <c r="AN3" s="253">
        <v>1.0</v>
      </c>
      <c r="AO3" s="253">
        <v>6.0</v>
      </c>
      <c r="AP3" s="253" t="s">
        <v>57</v>
      </c>
    </row>
    <row r="4">
      <c r="A4" s="253" t="s">
        <v>569</v>
      </c>
      <c r="B4" s="254" t="str">
        <f>if(BPtotal&lt;$AO4,"",A4)</f>
        <v/>
      </c>
      <c r="C4" s="253" t="s">
        <v>560</v>
      </c>
      <c r="D4" s="253" t="s">
        <v>570</v>
      </c>
      <c r="E4" s="253" t="s">
        <v>571</v>
      </c>
      <c r="F4" s="253">
        <v>1.0</v>
      </c>
      <c r="G4" s="253">
        <v>1.0</v>
      </c>
      <c r="H4" s="253">
        <v>35.0</v>
      </c>
      <c r="I4" s="253">
        <v>5.0</v>
      </c>
      <c r="J4" s="253" t="s">
        <v>57</v>
      </c>
      <c r="K4" s="253">
        <v>7.0</v>
      </c>
      <c r="L4" s="253" t="s">
        <v>572</v>
      </c>
      <c r="M4" s="256" t="s">
        <v>568</v>
      </c>
      <c r="N4" s="253" t="s">
        <v>564</v>
      </c>
      <c r="O4" s="253" t="s">
        <v>573</v>
      </c>
      <c r="P4" s="253"/>
      <c r="Q4" s="253"/>
      <c r="R4" s="256"/>
      <c r="S4" s="253"/>
      <c r="T4" s="253"/>
      <c r="U4" s="253"/>
      <c r="V4" s="253"/>
      <c r="W4" s="256"/>
      <c r="X4" s="253"/>
      <c r="Y4" s="253"/>
      <c r="Z4" s="253"/>
      <c r="AA4" s="253"/>
      <c r="AB4" s="256" t="s">
        <v>563</v>
      </c>
      <c r="AC4" s="253" t="s">
        <v>564</v>
      </c>
      <c r="AD4" s="253"/>
      <c r="AE4" s="253"/>
      <c r="AF4" s="253"/>
      <c r="AG4" s="256"/>
      <c r="AH4" s="253"/>
      <c r="AI4" s="253"/>
      <c r="AJ4" s="253"/>
      <c r="AK4" s="253"/>
      <c r="AL4" s="253">
        <v>0.0</v>
      </c>
      <c r="AM4" s="253">
        <v>1.0</v>
      </c>
      <c r="AN4" s="253">
        <v>2.0</v>
      </c>
      <c r="AO4" s="253">
        <v>8.0</v>
      </c>
      <c r="AP4" s="253" t="s">
        <v>57</v>
      </c>
    </row>
    <row r="5">
      <c r="A5" s="253" t="s">
        <v>574</v>
      </c>
      <c r="B5" s="254" t="str">
        <f>if(BPtotal&lt;$AO5,"",A5)</f>
        <v/>
      </c>
      <c r="C5" s="253" t="s">
        <v>575</v>
      </c>
      <c r="D5" s="253" t="s">
        <v>566</v>
      </c>
      <c r="E5" s="253" t="s">
        <v>561</v>
      </c>
      <c r="F5" s="253">
        <v>2.0</v>
      </c>
      <c r="G5" s="253">
        <v>0.0</v>
      </c>
      <c r="H5" s="253">
        <v>35.0</v>
      </c>
      <c r="I5" s="253">
        <v>5.0</v>
      </c>
      <c r="J5" s="253" t="s">
        <v>57</v>
      </c>
      <c r="K5" s="253">
        <v>7.0</v>
      </c>
      <c r="L5" s="253" t="s">
        <v>576</v>
      </c>
      <c r="M5" s="256" t="s">
        <v>563</v>
      </c>
      <c r="N5" s="253" t="s">
        <v>564</v>
      </c>
      <c r="O5" s="253"/>
      <c r="P5" s="253"/>
      <c r="Q5" s="253"/>
      <c r="R5" s="256"/>
      <c r="S5" s="253"/>
      <c r="T5" s="253"/>
      <c r="U5" s="253"/>
      <c r="V5" s="253"/>
      <c r="W5" s="256"/>
      <c r="X5" s="253"/>
      <c r="Y5" s="253"/>
      <c r="Z5" s="253"/>
      <c r="AA5" s="253"/>
      <c r="AB5" s="256"/>
      <c r="AC5" s="253"/>
      <c r="AD5" s="253"/>
      <c r="AE5" s="253"/>
      <c r="AF5" s="253"/>
      <c r="AG5" s="256"/>
      <c r="AH5" s="253"/>
      <c r="AI5" s="253"/>
      <c r="AJ5" s="253"/>
      <c r="AK5" s="253"/>
      <c r="AL5" s="253">
        <v>3.0</v>
      </c>
      <c r="AM5" s="253">
        <v>1.0</v>
      </c>
      <c r="AN5" s="253">
        <v>4.0</v>
      </c>
      <c r="AO5" s="253">
        <v>6.0</v>
      </c>
      <c r="AP5" s="253" t="s">
        <v>577</v>
      </c>
    </row>
    <row r="6">
      <c r="A6" s="253" t="s">
        <v>578</v>
      </c>
      <c r="B6" s="254" t="str">
        <f>if(BPtotal&lt;$AO6,"",A6)</f>
        <v/>
      </c>
      <c r="C6" s="253" t="s">
        <v>575</v>
      </c>
      <c r="D6" s="253" t="s">
        <v>570</v>
      </c>
      <c r="E6" s="253" t="s">
        <v>571</v>
      </c>
      <c r="F6" s="253">
        <v>1.0</v>
      </c>
      <c r="G6" s="253">
        <v>1.0</v>
      </c>
      <c r="H6" s="253">
        <v>40.0</v>
      </c>
      <c r="I6" s="253">
        <v>10.0</v>
      </c>
      <c r="J6" s="253" t="s">
        <v>57</v>
      </c>
      <c r="K6" s="253">
        <v>8.0</v>
      </c>
      <c r="L6" s="253" t="s">
        <v>579</v>
      </c>
      <c r="M6" s="256" t="s">
        <v>568</v>
      </c>
      <c r="N6" s="253" t="s">
        <v>564</v>
      </c>
      <c r="O6" s="253" t="s">
        <v>564</v>
      </c>
      <c r="P6" s="253"/>
      <c r="Q6" s="253"/>
      <c r="R6" s="256" t="s">
        <v>563</v>
      </c>
      <c r="S6" s="253" t="s">
        <v>564</v>
      </c>
      <c r="T6" s="253"/>
      <c r="U6" s="253"/>
      <c r="V6" s="253"/>
      <c r="W6" s="256" t="s">
        <v>563</v>
      </c>
      <c r="X6" s="253" t="s">
        <v>564</v>
      </c>
      <c r="Y6" s="253"/>
      <c r="Z6" s="253"/>
      <c r="AA6" s="253"/>
      <c r="AB6" s="256"/>
      <c r="AC6" s="253"/>
      <c r="AD6" s="253"/>
      <c r="AE6" s="253"/>
      <c r="AF6" s="253"/>
      <c r="AG6" s="256"/>
      <c r="AH6" s="253"/>
      <c r="AI6" s="253"/>
      <c r="AJ6" s="253"/>
      <c r="AK6" s="253"/>
      <c r="AL6" s="253">
        <v>3.0</v>
      </c>
      <c r="AM6" s="253">
        <v>1.0</v>
      </c>
      <c r="AN6" s="253">
        <v>6.0</v>
      </c>
      <c r="AO6" s="253">
        <v>10.0</v>
      </c>
      <c r="AP6" s="253" t="s">
        <v>57</v>
      </c>
    </row>
    <row r="7">
      <c r="A7" s="253" t="s">
        <v>580</v>
      </c>
      <c r="B7" s="254" t="str">
        <f>if(BPtotal&lt;$AO7,"",A7)</f>
        <v/>
      </c>
      <c r="C7" s="253" t="s">
        <v>162</v>
      </c>
      <c r="D7" s="253" t="s">
        <v>570</v>
      </c>
      <c r="E7" s="253" t="s">
        <v>571</v>
      </c>
      <c r="F7" s="253">
        <v>1.0</v>
      </c>
      <c r="G7" s="253">
        <v>1.0</v>
      </c>
      <c r="H7" s="253">
        <v>55.0</v>
      </c>
      <c r="I7" s="253">
        <v>10.0</v>
      </c>
      <c r="J7" s="253" t="s">
        <v>57</v>
      </c>
      <c r="K7" s="253">
        <v>11.0</v>
      </c>
      <c r="L7" s="253" t="s">
        <v>581</v>
      </c>
      <c r="M7" s="256" t="s">
        <v>563</v>
      </c>
      <c r="N7" s="253" t="s">
        <v>564</v>
      </c>
      <c r="O7" s="253"/>
      <c r="P7" s="253"/>
      <c r="Q7" s="253"/>
      <c r="R7" s="256" t="s">
        <v>563</v>
      </c>
      <c r="S7" s="253" t="s">
        <v>564</v>
      </c>
      <c r="T7" s="253"/>
      <c r="U7" s="253"/>
      <c r="V7" s="253"/>
      <c r="W7" s="256" t="s">
        <v>563</v>
      </c>
      <c r="X7" s="253" t="s">
        <v>564</v>
      </c>
      <c r="Y7" s="253"/>
      <c r="Z7" s="253"/>
      <c r="AA7" s="253"/>
      <c r="AB7" s="256"/>
      <c r="AC7" s="253"/>
      <c r="AD7" s="253"/>
      <c r="AE7" s="253"/>
      <c r="AF7" s="253"/>
      <c r="AG7" s="256" t="s">
        <v>563</v>
      </c>
      <c r="AH7" s="253" t="s">
        <v>564</v>
      </c>
      <c r="AI7" s="253"/>
      <c r="AJ7" s="253"/>
      <c r="AK7" s="253"/>
      <c r="AL7" s="253">
        <v>4.0</v>
      </c>
      <c r="AM7" s="253">
        <v>1.0</v>
      </c>
      <c r="AN7" s="253">
        <v>6.0</v>
      </c>
      <c r="AO7" s="253">
        <v>12.0</v>
      </c>
      <c r="AP7" s="253" t="s">
        <v>57</v>
      </c>
    </row>
    <row r="8">
      <c r="A8" s="253" t="s">
        <v>582</v>
      </c>
      <c r="B8" s="254" t="str">
        <f>if(BPtotal&lt;$AO8,"",A8)</f>
        <v/>
      </c>
      <c r="C8" s="253" t="s">
        <v>162</v>
      </c>
      <c r="D8" s="253" t="s">
        <v>583</v>
      </c>
      <c r="E8" s="253" t="s">
        <v>584</v>
      </c>
      <c r="F8" s="253">
        <v>0.0</v>
      </c>
      <c r="G8" s="253">
        <v>2.0</v>
      </c>
      <c r="H8" s="253">
        <v>70.0</v>
      </c>
      <c r="I8" s="253">
        <v>15.0</v>
      </c>
      <c r="J8" s="253" t="s">
        <v>57</v>
      </c>
      <c r="K8" s="253">
        <v>14.0</v>
      </c>
      <c r="L8" s="253" t="s">
        <v>585</v>
      </c>
      <c r="M8" s="256" t="s">
        <v>586</v>
      </c>
      <c r="N8" s="253" t="s">
        <v>587</v>
      </c>
      <c r="O8" s="253" t="s">
        <v>564</v>
      </c>
      <c r="P8" s="253"/>
      <c r="Q8" s="253"/>
      <c r="R8" s="256"/>
      <c r="S8" s="253"/>
      <c r="T8" s="253"/>
      <c r="U8" s="253"/>
      <c r="V8" s="253"/>
      <c r="W8" s="256"/>
      <c r="X8" s="253"/>
      <c r="Y8" s="253"/>
      <c r="Z8" s="253"/>
      <c r="AA8" s="253"/>
      <c r="AB8" s="256" t="s">
        <v>563</v>
      </c>
      <c r="AC8" s="253" t="s">
        <v>564</v>
      </c>
      <c r="AD8" s="253"/>
      <c r="AE8" s="253"/>
      <c r="AF8" s="253"/>
      <c r="AG8" s="256" t="s">
        <v>568</v>
      </c>
      <c r="AH8" s="253" t="s">
        <v>564</v>
      </c>
      <c r="AI8" s="253" t="s">
        <v>564</v>
      </c>
      <c r="AJ8" s="253"/>
      <c r="AK8" s="253"/>
      <c r="AL8" s="253">
        <v>5.0</v>
      </c>
      <c r="AM8" s="253">
        <v>1.0</v>
      </c>
      <c r="AN8" s="253">
        <v>6.0</v>
      </c>
      <c r="AO8" s="253">
        <v>15.0</v>
      </c>
      <c r="AP8" s="253" t="s">
        <v>57</v>
      </c>
    </row>
    <row r="9">
      <c r="A9" s="253" t="s">
        <v>588</v>
      </c>
      <c r="B9" s="254" t="str">
        <f>if(BPtotal&lt;$AO9,"",A9)</f>
        <v/>
      </c>
      <c r="C9" s="253" t="s">
        <v>157</v>
      </c>
      <c r="D9" s="253" t="s">
        <v>583</v>
      </c>
      <c r="E9" s="253" t="s">
        <v>584</v>
      </c>
      <c r="F9" s="253">
        <v>0.0</v>
      </c>
      <c r="G9" s="253">
        <v>2.0</v>
      </c>
      <c r="H9" s="253">
        <v>150.0</v>
      </c>
      <c r="I9" s="253">
        <v>20.0</v>
      </c>
      <c r="J9" s="253" t="s">
        <v>57</v>
      </c>
      <c r="K9" s="253">
        <v>30.0</v>
      </c>
      <c r="L9" s="253" t="s">
        <v>589</v>
      </c>
      <c r="M9" s="256" t="s">
        <v>590</v>
      </c>
      <c r="N9" s="253" t="s">
        <v>587</v>
      </c>
      <c r="O9" s="253" t="s">
        <v>587</v>
      </c>
      <c r="P9" s="253"/>
      <c r="Q9" s="253"/>
      <c r="R9" s="256" t="s">
        <v>563</v>
      </c>
      <c r="S9" s="253" t="s">
        <v>564</v>
      </c>
      <c r="T9" s="253"/>
      <c r="U9" s="253"/>
      <c r="V9" s="253"/>
      <c r="W9" s="256" t="s">
        <v>563</v>
      </c>
      <c r="X9" s="253" t="s">
        <v>564</v>
      </c>
      <c r="Y9" s="253"/>
      <c r="Z9" s="253"/>
      <c r="AA9" s="253"/>
      <c r="AB9" s="256" t="s">
        <v>563</v>
      </c>
      <c r="AC9" s="253" t="s">
        <v>564</v>
      </c>
      <c r="AD9" s="253"/>
      <c r="AE9" s="253"/>
      <c r="AF9" s="253"/>
      <c r="AG9" s="256" t="s">
        <v>563</v>
      </c>
      <c r="AH9" s="253" t="s">
        <v>564</v>
      </c>
      <c r="AI9" s="253"/>
      <c r="AJ9" s="253"/>
      <c r="AK9" s="253"/>
      <c r="AL9" s="253">
        <v>4.0</v>
      </c>
      <c r="AM9" s="253">
        <v>6.0</v>
      </c>
      <c r="AN9" s="253">
        <v>20.0</v>
      </c>
      <c r="AO9" s="253">
        <v>30.0</v>
      </c>
      <c r="AP9" s="253" t="s">
        <v>57</v>
      </c>
    </row>
    <row r="10">
      <c r="A10" s="253" t="s">
        <v>591</v>
      </c>
      <c r="B10" s="254" t="str">
        <f>if(BPtotal&lt;$AO10,"",A10)</f>
        <v/>
      </c>
      <c r="C10" s="253" t="s">
        <v>157</v>
      </c>
      <c r="D10" s="253" t="s">
        <v>583</v>
      </c>
      <c r="E10" s="253" t="s">
        <v>584</v>
      </c>
      <c r="F10" s="253">
        <v>0.0</v>
      </c>
      <c r="G10" s="253">
        <v>2.0</v>
      </c>
      <c r="H10" s="253">
        <v>120.0</v>
      </c>
      <c r="I10" s="253">
        <v>20.0</v>
      </c>
      <c r="J10" s="253" t="s">
        <v>57</v>
      </c>
      <c r="K10" s="253">
        <v>24.0</v>
      </c>
      <c r="L10" s="253" t="s">
        <v>592</v>
      </c>
      <c r="M10" s="256" t="s">
        <v>593</v>
      </c>
      <c r="N10" s="253" t="s">
        <v>587</v>
      </c>
      <c r="O10" s="253" t="s">
        <v>564</v>
      </c>
      <c r="P10" s="253" t="s">
        <v>564</v>
      </c>
      <c r="Q10" s="253"/>
      <c r="R10" s="256" t="s">
        <v>594</v>
      </c>
      <c r="S10" s="253" t="s">
        <v>587</v>
      </c>
      <c r="T10" s="253"/>
      <c r="U10" s="253"/>
      <c r="V10" s="253"/>
      <c r="W10" s="256" t="s">
        <v>594</v>
      </c>
      <c r="X10" s="253" t="s">
        <v>587</v>
      </c>
      <c r="Y10" s="253"/>
      <c r="Z10" s="253"/>
      <c r="AA10" s="253"/>
      <c r="AB10" s="256"/>
      <c r="AC10" s="253"/>
      <c r="AD10" s="253"/>
      <c r="AE10" s="253"/>
      <c r="AF10" s="253"/>
      <c r="AG10" s="256"/>
      <c r="AH10" s="253"/>
      <c r="AI10" s="253"/>
      <c r="AJ10" s="253"/>
      <c r="AK10" s="253"/>
      <c r="AL10" s="253">
        <v>8.0</v>
      </c>
      <c r="AM10" s="253">
        <v>6.0</v>
      </c>
      <c r="AN10" s="253">
        <v>20.0</v>
      </c>
      <c r="AO10" s="253">
        <v>40.0</v>
      </c>
      <c r="AP10" s="253" t="s">
        <v>57</v>
      </c>
    </row>
    <row r="11">
      <c r="A11" s="253" t="s">
        <v>595</v>
      </c>
      <c r="B11" s="254" t="str">
        <f>if(BPtotal&lt;$AO11,"",A11)</f>
        <v/>
      </c>
      <c r="C11" s="253" t="s">
        <v>155</v>
      </c>
      <c r="D11" s="253" t="s">
        <v>596</v>
      </c>
      <c r="E11" s="253" t="s">
        <v>597</v>
      </c>
      <c r="F11" s="253">
        <v>-1.0</v>
      </c>
      <c r="G11" s="253">
        <v>3.0</v>
      </c>
      <c r="H11" s="253">
        <v>160.0</v>
      </c>
      <c r="I11" s="253">
        <v>20.0</v>
      </c>
      <c r="J11" s="253">
        <v>5.0</v>
      </c>
      <c r="K11" s="253">
        <v>32.0</v>
      </c>
      <c r="L11" s="253" t="s">
        <v>598</v>
      </c>
      <c r="M11" s="256" t="s">
        <v>594</v>
      </c>
      <c r="N11" s="253" t="s">
        <v>587</v>
      </c>
      <c r="O11" s="253"/>
      <c r="P11" s="253"/>
      <c r="Q11" s="253"/>
      <c r="R11" s="256"/>
      <c r="S11" s="253"/>
      <c r="T11" s="253"/>
      <c r="U11" s="253"/>
      <c r="V11" s="253"/>
      <c r="W11" s="256"/>
      <c r="X11" s="253"/>
      <c r="Y11" s="253"/>
      <c r="Z11" s="253"/>
      <c r="AA11" s="253"/>
      <c r="AB11" s="256" t="s">
        <v>594</v>
      </c>
      <c r="AC11" s="253" t="s">
        <v>587</v>
      </c>
      <c r="AD11" s="253"/>
      <c r="AE11" s="253"/>
      <c r="AF11" s="253"/>
      <c r="AG11" s="256" t="s">
        <v>568</v>
      </c>
      <c r="AH11" s="253" t="s">
        <v>564</v>
      </c>
      <c r="AI11" s="253" t="s">
        <v>564</v>
      </c>
      <c r="AJ11" s="253"/>
      <c r="AK11" s="253"/>
      <c r="AL11" s="253">
        <v>10.0</v>
      </c>
      <c r="AM11" s="253">
        <v>20.0</v>
      </c>
      <c r="AN11" s="253">
        <v>50.0</v>
      </c>
      <c r="AO11" s="253">
        <v>55.0</v>
      </c>
      <c r="AP11" s="253" t="s">
        <v>57</v>
      </c>
    </row>
    <row r="12">
      <c r="A12" s="253" t="s">
        <v>599</v>
      </c>
      <c r="B12" s="254" t="str">
        <f>if(BPtotal&lt;$AO12,"",A12)</f>
        <v/>
      </c>
      <c r="C12" s="253" t="s">
        <v>155</v>
      </c>
      <c r="D12" s="253" t="s">
        <v>583</v>
      </c>
      <c r="E12" s="253" t="s">
        <v>584</v>
      </c>
      <c r="F12" s="253">
        <v>0.0</v>
      </c>
      <c r="G12" s="253">
        <v>2.0</v>
      </c>
      <c r="H12" s="253">
        <v>180.0</v>
      </c>
      <c r="I12" s="253">
        <v>25.0</v>
      </c>
      <c r="J12" s="253">
        <v>5.0</v>
      </c>
      <c r="K12" s="253">
        <v>36.0</v>
      </c>
      <c r="L12" s="253" t="s">
        <v>600</v>
      </c>
      <c r="M12" s="256" t="s">
        <v>601</v>
      </c>
      <c r="N12" s="253" t="s">
        <v>602</v>
      </c>
      <c r="O12" s="253"/>
      <c r="P12" s="253"/>
      <c r="Q12" s="253"/>
      <c r="R12" s="256" t="s">
        <v>563</v>
      </c>
      <c r="S12" s="253" t="s">
        <v>564</v>
      </c>
      <c r="T12" s="253"/>
      <c r="U12" s="253"/>
      <c r="V12" s="253"/>
      <c r="W12" s="256" t="s">
        <v>563</v>
      </c>
      <c r="X12" s="253" t="s">
        <v>564</v>
      </c>
      <c r="Y12" s="253"/>
      <c r="Z12" s="253"/>
      <c r="AA12" s="253"/>
      <c r="AB12" s="256"/>
      <c r="AC12" s="253"/>
      <c r="AD12" s="253"/>
      <c r="AE12" s="253"/>
      <c r="AF12" s="253"/>
      <c r="AG12" s="256" t="s">
        <v>594</v>
      </c>
      <c r="AH12" s="253" t="s">
        <v>587</v>
      </c>
      <c r="AI12" s="253"/>
      <c r="AJ12" s="253"/>
      <c r="AK12" s="253"/>
      <c r="AL12" s="253">
        <v>6.0</v>
      </c>
      <c r="AM12" s="253">
        <v>20.0</v>
      </c>
      <c r="AN12" s="253">
        <v>100.0</v>
      </c>
      <c r="AO12" s="253">
        <v>60.0</v>
      </c>
      <c r="AP12" s="253" t="s">
        <v>57</v>
      </c>
    </row>
    <row r="13">
      <c r="A13" s="253" t="s">
        <v>603</v>
      </c>
      <c r="B13" s="254" t="str">
        <f>if(BPtotal&lt;$AO13,"",A13)</f>
        <v/>
      </c>
      <c r="C13" s="253" t="s">
        <v>604</v>
      </c>
      <c r="D13" s="253" t="s">
        <v>596</v>
      </c>
      <c r="E13" s="253" t="s">
        <v>597</v>
      </c>
      <c r="F13" s="253">
        <v>-1.0</v>
      </c>
      <c r="G13" s="253">
        <v>3.0</v>
      </c>
      <c r="H13" s="253">
        <v>240.0</v>
      </c>
      <c r="I13" s="253">
        <v>30.0</v>
      </c>
      <c r="J13" s="253">
        <v>10.0</v>
      </c>
      <c r="K13" s="253">
        <v>48.0</v>
      </c>
      <c r="L13" s="253" t="s">
        <v>605</v>
      </c>
      <c r="M13" s="256" t="s">
        <v>601</v>
      </c>
      <c r="N13" s="253" t="s">
        <v>602</v>
      </c>
      <c r="O13" s="253"/>
      <c r="P13" s="253"/>
      <c r="Q13" s="253"/>
      <c r="R13" s="256" t="s">
        <v>606</v>
      </c>
      <c r="S13" s="253" t="s">
        <v>587</v>
      </c>
      <c r="T13" s="253" t="s">
        <v>587</v>
      </c>
      <c r="U13" s="253" t="s">
        <v>587</v>
      </c>
      <c r="V13" s="253"/>
      <c r="W13" s="256" t="s">
        <v>606</v>
      </c>
      <c r="X13" s="253" t="s">
        <v>587</v>
      </c>
      <c r="Y13" s="253" t="s">
        <v>587</v>
      </c>
      <c r="Z13" s="253" t="s">
        <v>587</v>
      </c>
      <c r="AA13" s="253"/>
      <c r="AB13" s="256"/>
      <c r="AC13" s="253"/>
      <c r="AD13" s="253"/>
      <c r="AE13" s="253"/>
      <c r="AF13" s="253"/>
      <c r="AG13" s="256" t="s">
        <v>568</v>
      </c>
      <c r="AH13" s="253" t="s">
        <v>564</v>
      </c>
      <c r="AI13" s="253" t="s">
        <v>564</v>
      </c>
      <c r="AJ13" s="253"/>
      <c r="AK13" s="253"/>
      <c r="AL13" s="253">
        <v>10.0</v>
      </c>
      <c r="AM13" s="253">
        <v>75.0</v>
      </c>
      <c r="AN13" s="253">
        <v>200.0</v>
      </c>
      <c r="AO13" s="253">
        <v>120.0</v>
      </c>
      <c r="AP13" s="253" t="s">
        <v>607</v>
      </c>
    </row>
    <row r="14">
      <c r="A14" s="253" t="s">
        <v>608</v>
      </c>
      <c r="B14" s="254" t="str">
        <f>if(BPtotal&lt;$AO14,"",A14)</f>
        <v/>
      </c>
      <c r="C14" s="253" t="s">
        <v>604</v>
      </c>
      <c r="D14" s="253" t="s">
        <v>583</v>
      </c>
      <c r="E14" s="253" t="s">
        <v>584</v>
      </c>
      <c r="F14" s="253">
        <v>0.0</v>
      </c>
      <c r="G14" s="253">
        <v>2.0</v>
      </c>
      <c r="H14" s="253">
        <v>280.0</v>
      </c>
      <c r="I14" s="253">
        <v>40.0</v>
      </c>
      <c r="J14" s="253">
        <v>10.0</v>
      </c>
      <c r="K14" s="253">
        <v>56.0</v>
      </c>
      <c r="L14" s="253" t="s">
        <v>609</v>
      </c>
      <c r="M14" s="256" t="s">
        <v>610</v>
      </c>
      <c r="N14" s="253" t="s">
        <v>602</v>
      </c>
      <c r="O14" s="253" t="s">
        <v>587</v>
      </c>
      <c r="P14" s="253" t="s">
        <v>587</v>
      </c>
      <c r="Q14" s="253"/>
      <c r="R14" s="256" t="s">
        <v>611</v>
      </c>
      <c r="S14" s="253" t="s">
        <v>587</v>
      </c>
      <c r="T14" s="253" t="s">
        <v>587</v>
      </c>
      <c r="U14" s="253" t="s">
        <v>564</v>
      </c>
      <c r="V14" s="253"/>
      <c r="W14" s="256" t="s">
        <v>611</v>
      </c>
      <c r="X14" s="253" t="s">
        <v>587</v>
      </c>
      <c r="Y14" s="253" t="s">
        <v>587</v>
      </c>
      <c r="Z14" s="253" t="s">
        <v>564</v>
      </c>
      <c r="AA14" s="253"/>
      <c r="AB14" s="256" t="s">
        <v>563</v>
      </c>
      <c r="AC14" s="253" t="s">
        <v>564</v>
      </c>
      <c r="AD14" s="253"/>
      <c r="AE14" s="253"/>
      <c r="AF14" s="253"/>
      <c r="AG14" s="256" t="s">
        <v>590</v>
      </c>
      <c r="AH14" s="253" t="s">
        <v>587</v>
      </c>
      <c r="AI14" s="253" t="s">
        <v>587</v>
      </c>
      <c r="AJ14" s="253"/>
      <c r="AK14" s="253"/>
      <c r="AL14" s="253">
        <v>8.0</v>
      </c>
      <c r="AM14" s="253">
        <v>100.0</v>
      </c>
      <c r="AN14" s="253">
        <v>300.0</v>
      </c>
      <c r="AO14" s="253">
        <v>150.0</v>
      </c>
      <c r="AP14" s="253" t="s">
        <v>57</v>
      </c>
    </row>
    <row r="15">
      <c r="A15" s="253" t="s">
        <v>612</v>
      </c>
      <c r="B15" s="254" t="str">
        <f>if(BPtotal&lt;$AO15,"",A15)</f>
        <v/>
      </c>
      <c r="C15" s="253" t="s">
        <v>613</v>
      </c>
      <c r="D15" s="253" t="s">
        <v>614</v>
      </c>
      <c r="E15" s="253" t="s">
        <v>615</v>
      </c>
      <c r="F15" s="253">
        <v>-2.0</v>
      </c>
      <c r="G15" s="253">
        <v>4.0</v>
      </c>
      <c r="H15" s="253">
        <v>400.0</v>
      </c>
      <c r="I15" s="253">
        <v>50.0</v>
      </c>
      <c r="J15" s="253">
        <v>15.0</v>
      </c>
      <c r="K15" s="253">
        <v>80.0</v>
      </c>
      <c r="L15" s="253" t="s">
        <v>616</v>
      </c>
      <c r="M15" s="256" t="s">
        <v>617</v>
      </c>
      <c r="N15" s="253" t="s">
        <v>602</v>
      </c>
      <c r="O15" s="253" t="s">
        <v>602</v>
      </c>
      <c r="P15" s="253" t="s">
        <v>587</v>
      </c>
      <c r="Q15" s="253" t="s">
        <v>587</v>
      </c>
      <c r="R15" s="256" t="s">
        <v>618</v>
      </c>
      <c r="S15" s="253" t="s">
        <v>602</v>
      </c>
      <c r="T15" s="253" t="s">
        <v>587</v>
      </c>
      <c r="U15" s="253" t="s">
        <v>587</v>
      </c>
      <c r="V15" s="253" t="s">
        <v>587</v>
      </c>
      <c r="W15" s="256" t="s">
        <v>618</v>
      </c>
      <c r="X15" s="253" t="s">
        <v>602</v>
      </c>
      <c r="Y15" s="253" t="s">
        <v>587</v>
      </c>
      <c r="Z15" s="253" t="s">
        <v>587</v>
      </c>
      <c r="AA15" s="253" t="s">
        <v>587</v>
      </c>
      <c r="AB15" s="256"/>
      <c r="AC15" s="253"/>
      <c r="AD15" s="253"/>
      <c r="AE15" s="253"/>
      <c r="AF15" s="253"/>
      <c r="AG15" s="256" t="s">
        <v>619</v>
      </c>
      <c r="AH15" s="253" t="s">
        <v>564</v>
      </c>
      <c r="AI15" s="253" t="s">
        <v>564</v>
      </c>
      <c r="AJ15" s="253" t="s">
        <v>564</v>
      </c>
      <c r="AK15" s="253" t="s">
        <v>564</v>
      </c>
      <c r="AL15" s="253">
        <v>20.0</v>
      </c>
      <c r="AM15" s="253">
        <v>125.0</v>
      </c>
      <c r="AN15" s="253">
        <v>500.0</v>
      </c>
      <c r="AO15" s="253">
        <v>200.0</v>
      </c>
      <c r="AP15" s="253" t="s">
        <v>57</v>
      </c>
    </row>
    <row r="16">
      <c r="A16" s="257"/>
      <c r="B16" s="257"/>
      <c r="C16" s="258"/>
      <c r="D16" s="259"/>
      <c r="E16" s="259"/>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c r="AM16" s="253"/>
      <c r="AN16" s="253"/>
      <c r="AO16" s="253"/>
      <c r="AP16" s="253"/>
    </row>
    <row r="17">
      <c r="A17" s="257"/>
      <c r="B17" s="257"/>
      <c r="C17" s="260"/>
      <c r="D17" s="261" t="str">
        <f t="array" ref="D17">iferror(index(D2:D17,(match(Frame,FrameChoice,0)),0))</f>
        <v/>
      </c>
      <c r="E17" s="260"/>
      <c r="F17" s="262" t="str">
        <f t="array" ref="F17">iferror(index(FramePilot,match(Frame,FrameChoice,0)))</f>
        <v/>
      </c>
      <c r="G17" s="262" t="str">
        <f t="array" ref="G17">iferror(index(FrameTurnT,match(Frame,FrameChoice,0)))</f>
        <v/>
      </c>
      <c r="H17" s="253" t="s">
        <v>16</v>
      </c>
      <c r="I17" s="263">
        <f>BaseHP+rounddown(L17/4)*baseHPinc</f>
        <v>0</v>
      </c>
      <c r="J17" s="253"/>
      <c r="K17" s="264">
        <f>I17/5</f>
        <v>0</v>
      </c>
      <c r="L17" s="265" t="str">
        <f>if(Tier="¼",1/4,if(Tier="⅓",1/3,if(Tier="½",1/2,Tier)))</f>
        <v/>
      </c>
      <c r="M17" s="253" t="s">
        <v>620</v>
      </c>
      <c r="N17" s="255" t="str">
        <f t="array" ref="N17">iferror(index(N2:N15,match(Frame,FrameChoice,0)))</f>
        <v/>
      </c>
      <c r="O17" s="255" t="str">
        <f t="array" ref="O17">iferror(index(O2:O15,match(Frame,FrameChoice,0)))</f>
        <v/>
      </c>
      <c r="P17" s="255" t="str">
        <f t="array" ref="P17">iferror(index(P2:P15,match(Frame,FrameChoice,0)))</f>
        <v/>
      </c>
      <c r="Q17" s="255" t="str">
        <f t="array" ref="Q17">iferror(index(Q2:Q15,match(Frame,FrameChoice,0)))</f>
        <v/>
      </c>
      <c r="R17" s="253" t="s">
        <v>293</v>
      </c>
      <c r="S17" s="255" t="str">
        <f t="array" ref="S17">iferror(index(S2:S15,match(Frame,FrameChoice,0)))</f>
        <v/>
      </c>
      <c r="T17" s="255" t="str">
        <f t="array" ref="T17">iferror(index(T2:T15,match(Frame,FrameChoice,0)))</f>
        <v/>
      </c>
      <c r="U17" s="255" t="str">
        <f t="array" ref="U17">iferror(index(U2:U15,match(Frame,FrameChoice,0)))</f>
        <v/>
      </c>
      <c r="V17" s="255" t="str">
        <f t="array" ref="V17">iferror(index(V2:V15,match(Frame,FrameChoice,0)))</f>
        <v/>
      </c>
      <c r="W17" s="253" t="s">
        <v>314</v>
      </c>
      <c r="X17" s="255" t="str">
        <f t="array" ref="X17">iferror(index(X2:X15,match(Frame,FrameChoice,0)))</f>
        <v/>
      </c>
      <c r="Y17" s="255" t="str">
        <f t="array" ref="Y17">iferror(index(Y2:Y15,match(Frame,FrameChoice,0)))</f>
        <v/>
      </c>
      <c r="Z17" s="255" t="str">
        <f t="array" ref="Z17">iferror(index(Z2:Z15,match(Frame,FrameChoice,0)))</f>
        <v/>
      </c>
      <c r="AA17" s="255" t="str">
        <f t="array" ref="AA17">iferror(index(AA2:AA15,match(Frame,FrameChoice,0)))</f>
        <v/>
      </c>
      <c r="AB17" s="253" t="s">
        <v>334</v>
      </c>
      <c r="AC17" s="255" t="str">
        <f t="array" ref="AC17">iferror(index(AC2:AC15,match(Frame,FrameChoice,0)))</f>
        <v/>
      </c>
      <c r="AD17" s="255" t="str">
        <f t="array" ref="AD17">iferror(index(AD2:AD15,match(Frame,FrameChoice,0)))</f>
        <v/>
      </c>
      <c r="AE17" s="255" t="str">
        <f t="array" ref="AE17">iferror(index(AE2:AE15,match(Frame,FrameChoice,0)))</f>
        <v/>
      </c>
      <c r="AF17" s="255" t="str">
        <f t="array" ref="AF17">iferror(index(AF2:AF15,match(Frame,FrameChoice,0)))</f>
        <v/>
      </c>
      <c r="AG17" s="253" t="s">
        <v>383</v>
      </c>
      <c r="AH17" s="255" t="str">
        <f t="array" ref="AH17">iferror(index(AH2:AH15,match(Frame,FrameChoice,0)))</f>
        <v/>
      </c>
      <c r="AI17" s="255" t="str">
        <f t="array" ref="AI17">iferror(index(AI2:AI15,match(Frame,FrameChoice,0)))</f>
        <v/>
      </c>
      <c r="AJ17" s="255" t="str">
        <f t="array" ref="AJ17">iferror(index(AJ2:AJ15,match(Frame,FrameChoice,0)))</f>
        <v/>
      </c>
      <c r="AK17" s="255" t="str">
        <f t="array" ref="AK17">iferror(index(AK2:AK15,match(Frame,FrameChoice,0)))</f>
        <v/>
      </c>
      <c r="AL17" s="255"/>
      <c r="AM17" s="255"/>
      <c r="AN17" s="255"/>
      <c r="AO17" s="255"/>
      <c r="AP17" s="255"/>
    </row>
  </sheetData>
  <drawing r:id="rId2"/>
  <legacyDrawing r:id="rId3"/>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4.29"/>
    <col customWidth="1" min="2" max="2" width="18.29"/>
    <col customWidth="1" min="3" max="3" width="11.43"/>
  </cols>
  <sheetData>
    <row r="1">
      <c r="A1" s="266" t="s">
        <v>621</v>
      </c>
      <c r="B1" s="266" t="s">
        <v>630</v>
      </c>
      <c r="C1" s="266" t="s">
        <v>52</v>
      </c>
    </row>
    <row r="2">
      <c r="A2" s="267" t="s">
        <v>635</v>
      </c>
      <c r="B2" s="55">
        <v>25.0</v>
      </c>
      <c r="C2" s="64"/>
    </row>
    <row r="3">
      <c r="A3" s="267" t="s">
        <v>642</v>
      </c>
      <c r="B3" s="55">
        <v>30.0</v>
      </c>
      <c r="C3" s="64"/>
    </row>
    <row r="4">
      <c r="A4" s="267" t="s">
        <v>643</v>
      </c>
      <c r="B4" s="55">
        <v>40.0</v>
      </c>
      <c r="C4" s="64"/>
    </row>
    <row r="5">
      <c r="A5" s="55">
        <v>1.0</v>
      </c>
      <c r="B5" s="55">
        <v>55.0</v>
      </c>
      <c r="C5" s="64"/>
    </row>
    <row r="6">
      <c r="A6" s="55">
        <v>2.0</v>
      </c>
      <c r="B6" s="55">
        <v>75.0</v>
      </c>
      <c r="C6" s="64"/>
    </row>
    <row r="7">
      <c r="A7" s="55">
        <v>3.0</v>
      </c>
      <c r="B7" s="55">
        <v>95.0</v>
      </c>
      <c r="C7" s="64"/>
    </row>
    <row r="8">
      <c r="A8" s="55">
        <v>4.0</v>
      </c>
      <c r="B8" s="55">
        <v>115.0</v>
      </c>
      <c r="C8" s="55" t="s">
        <v>644</v>
      </c>
    </row>
    <row r="9">
      <c r="A9" s="55">
        <v>5.0</v>
      </c>
      <c r="B9" s="55">
        <v>135.0</v>
      </c>
      <c r="C9" s="64"/>
    </row>
    <row r="10">
      <c r="A10" s="55">
        <v>6.0</v>
      </c>
      <c r="B10" s="55">
        <v>155.0</v>
      </c>
      <c r="C10" s="64"/>
    </row>
    <row r="11">
      <c r="A11" s="55">
        <v>7.0</v>
      </c>
      <c r="B11" s="55">
        <v>180.0</v>
      </c>
      <c r="C11" s="64"/>
    </row>
    <row r="12">
      <c r="A12" s="55">
        <v>8.0</v>
      </c>
      <c r="B12" s="55">
        <v>205.0</v>
      </c>
      <c r="C12" s="55" t="s">
        <v>644</v>
      </c>
    </row>
    <row r="13">
      <c r="A13" s="55">
        <v>9.0</v>
      </c>
      <c r="B13" s="55">
        <v>230.0</v>
      </c>
      <c r="C13" s="64"/>
    </row>
    <row r="14">
      <c r="A14" s="55">
        <v>10.0</v>
      </c>
      <c r="B14" s="55">
        <v>270.0</v>
      </c>
      <c r="C14" s="64"/>
    </row>
    <row r="15">
      <c r="A15" s="55">
        <v>11.0</v>
      </c>
      <c r="B15" s="55">
        <v>310.0</v>
      </c>
      <c r="C15" s="64"/>
    </row>
    <row r="16">
      <c r="A16" s="55">
        <v>12.0</v>
      </c>
      <c r="B16" s="55">
        <v>350.0</v>
      </c>
      <c r="C16" s="55" t="s">
        <v>644</v>
      </c>
    </row>
    <row r="17">
      <c r="A17" s="55">
        <v>13.0</v>
      </c>
      <c r="B17" s="55">
        <v>400.0</v>
      </c>
      <c r="C17" s="64"/>
    </row>
    <row r="18">
      <c r="A18" s="55">
        <v>14.0</v>
      </c>
      <c r="B18" s="55">
        <v>450.0</v>
      </c>
      <c r="C18" s="64"/>
    </row>
    <row r="19">
      <c r="A19" s="55">
        <v>15.0</v>
      </c>
      <c r="B19" s="55">
        <v>500.0</v>
      </c>
      <c r="C19" s="64"/>
    </row>
    <row r="20">
      <c r="A20" s="55">
        <v>16.0</v>
      </c>
      <c r="B20" s="55">
        <v>600.0</v>
      </c>
      <c r="C20" s="55" t="s">
        <v>644</v>
      </c>
    </row>
    <row r="21">
      <c r="A21" s="55">
        <v>17.0</v>
      </c>
      <c r="B21" s="55">
        <v>700.0</v>
      </c>
      <c r="C21" s="64"/>
    </row>
    <row r="22">
      <c r="A22" s="55">
        <v>18.0</v>
      </c>
      <c r="B22" s="55">
        <v>800.0</v>
      </c>
      <c r="C22" s="64"/>
    </row>
    <row r="23">
      <c r="A23" s="55">
        <v>19.0</v>
      </c>
      <c r="B23" s="55">
        <v>900.0</v>
      </c>
      <c r="C23" s="64"/>
    </row>
    <row r="24">
      <c r="A24" s="55">
        <v>20.0</v>
      </c>
      <c r="B24" s="55">
        <v>1000.0</v>
      </c>
      <c r="C24" s="55" t="s">
        <v>644</v>
      </c>
    </row>
  </sheetData>
  <drawing r:id="rId2"/>
  <legacyDrawing r:id="rId3"/>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1.43"/>
    <col customWidth="1" min="2" max="2" width="3.29"/>
    <col customWidth="1" min="3" max="3" width="13.71"/>
    <col customWidth="1" min="4" max="4" width="14.86"/>
    <col customWidth="1" min="5" max="5" width="3.29"/>
  </cols>
  <sheetData>
    <row r="1">
      <c r="A1" s="86" t="s">
        <v>296</v>
      </c>
      <c r="B1" s="86" t="s">
        <v>622</v>
      </c>
      <c r="C1" s="86" t="s">
        <v>623</v>
      </c>
      <c r="D1" s="86" t="s">
        <v>624</v>
      </c>
      <c r="E1" s="86" t="s">
        <v>625</v>
      </c>
    </row>
    <row r="2">
      <c r="A2" s="55" t="s">
        <v>560</v>
      </c>
      <c r="B2" s="55">
        <v>1.0</v>
      </c>
      <c r="C2" s="55" t="s">
        <v>626</v>
      </c>
      <c r="D2" s="55" t="s">
        <v>627</v>
      </c>
      <c r="E2" s="55">
        <v>2.0</v>
      </c>
    </row>
    <row r="3">
      <c r="A3" s="55" t="s">
        <v>575</v>
      </c>
      <c r="B3" s="55">
        <v>2.0</v>
      </c>
      <c r="C3" s="55" t="s">
        <v>628</v>
      </c>
      <c r="D3" s="55" t="s">
        <v>629</v>
      </c>
      <c r="E3" s="55">
        <v>1.0</v>
      </c>
    </row>
    <row r="4">
      <c r="A4" s="55" t="s">
        <v>162</v>
      </c>
      <c r="B4" s="55">
        <v>3.0</v>
      </c>
      <c r="C4" s="55" t="s">
        <v>631</v>
      </c>
      <c r="D4" s="55" t="s">
        <v>632</v>
      </c>
      <c r="E4" s="55">
        <v>0.0</v>
      </c>
    </row>
    <row r="5">
      <c r="A5" s="55" t="s">
        <v>157</v>
      </c>
      <c r="B5" s="55">
        <v>4.0</v>
      </c>
      <c r="C5" s="55" t="s">
        <v>633</v>
      </c>
      <c r="D5" s="55" t="s">
        <v>634</v>
      </c>
      <c r="E5" s="55">
        <v>-1.0</v>
      </c>
    </row>
    <row r="6">
      <c r="A6" s="55" t="s">
        <v>155</v>
      </c>
      <c r="B6" s="55">
        <v>5.0</v>
      </c>
      <c r="C6" s="55" t="s">
        <v>636</v>
      </c>
      <c r="D6" s="55" t="s">
        <v>637</v>
      </c>
      <c r="E6" s="55">
        <v>-2.0</v>
      </c>
    </row>
    <row r="7">
      <c r="A7" s="55" t="s">
        <v>604</v>
      </c>
      <c r="B7" s="55">
        <v>6.0</v>
      </c>
      <c r="C7" s="55" t="s">
        <v>638</v>
      </c>
      <c r="D7" s="55" t="s">
        <v>639</v>
      </c>
      <c r="E7" s="55">
        <v>-4.0</v>
      </c>
    </row>
    <row r="8">
      <c r="A8" s="55" t="s">
        <v>613</v>
      </c>
      <c r="B8" s="55">
        <v>7.0</v>
      </c>
      <c r="C8" s="55" t="s">
        <v>640</v>
      </c>
      <c r="D8" s="55" t="s">
        <v>641</v>
      </c>
      <c r="E8" s="55">
        <v>-8.0</v>
      </c>
    </row>
    <row r="9">
      <c r="A9" s="55" t="s">
        <v>57</v>
      </c>
      <c r="B9" s="55"/>
      <c r="C9" s="64"/>
      <c r="D9" s="64"/>
      <c r="E9" s="64"/>
    </row>
    <row r="10">
      <c r="A10" s="55"/>
      <c r="B10" s="268" t="str">
        <f t="array" ref="B10">iferror(index(SizeNum,match(ShipSize,SizeChoice,0)),0)</f>
        <v/>
      </c>
      <c r="C10" s="64"/>
      <c r="D10" s="64"/>
      <c r="E10" s="269" t="str">
        <f t="array" ref="E10">iferror(index(SizeMod,match(ShipSize,SizeChoice,0)),0)</f>
        <v/>
      </c>
    </row>
  </sheetData>
  <drawing r:id="rId2"/>
  <legacyDrawing r:id="rId3"/>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2.86"/>
    <col customWidth="1" min="2" max="2" width="11.43"/>
    <col customWidth="1" min="3" max="4" width="3.29"/>
    <col customWidth="1" min="5" max="5" width="4.57"/>
    <col customWidth="1" min="6" max="6" width="3.29"/>
    <col customWidth="1" min="7" max="7" width="12.43"/>
  </cols>
  <sheetData>
    <row r="1">
      <c r="A1" s="86" t="s">
        <v>645</v>
      </c>
      <c r="B1" s="86" t="s">
        <v>296</v>
      </c>
      <c r="C1" s="86" t="s">
        <v>646</v>
      </c>
      <c r="D1" s="86" t="s">
        <v>647</v>
      </c>
      <c r="E1" s="86" t="s">
        <v>119</v>
      </c>
      <c r="F1" s="86" t="s">
        <v>56</v>
      </c>
      <c r="G1" s="86" t="s">
        <v>648</v>
      </c>
    </row>
    <row r="2">
      <c r="A2" s="55" t="s">
        <v>649</v>
      </c>
      <c r="B2" s="55" t="s">
        <v>560</v>
      </c>
      <c r="C2" s="55">
        <v>6.0</v>
      </c>
      <c r="D2" s="55">
        <v>1.0</v>
      </c>
      <c r="E2" s="55">
        <v>20.0</v>
      </c>
      <c r="F2" s="55">
        <v>3.0</v>
      </c>
      <c r="G2" s="64" t="str">
        <f>if(ShipSize=B2,A2,"")</f>
        <v/>
      </c>
    </row>
    <row r="3">
      <c r="A3" s="55" t="s">
        <v>650</v>
      </c>
      <c r="B3" s="55" t="s">
        <v>560</v>
      </c>
      <c r="C3" s="55">
        <v>8.0</v>
      </c>
      <c r="D3" s="55">
        <v>0.0</v>
      </c>
      <c r="E3" s="55">
        <v>25.0</v>
      </c>
      <c r="F3" s="55">
        <v>4.0</v>
      </c>
      <c r="G3" s="64" t="str">
        <f>if(ShipSize=B3,A3,"")</f>
        <v/>
      </c>
    </row>
    <row r="4">
      <c r="A4" s="55" t="s">
        <v>651</v>
      </c>
      <c r="B4" s="55" t="s">
        <v>560</v>
      </c>
      <c r="C4" s="55">
        <v>10.0</v>
      </c>
      <c r="D4" s="55">
        <v>0.0</v>
      </c>
      <c r="E4" s="55">
        <v>30.0</v>
      </c>
      <c r="F4" s="55">
        <v>5.0</v>
      </c>
      <c r="G4" s="64" t="str">
        <f>if(ShipSize=B4,A4,"")</f>
        <v/>
      </c>
    </row>
    <row r="5">
      <c r="A5" s="55" t="s">
        <v>652</v>
      </c>
      <c r="B5" s="55" t="s">
        <v>560</v>
      </c>
      <c r="C5" s="55">
        <v>12.0</v>
      </c>
      <c r="D5" s="55">
        <v>-1.0</v>
      </c>
      <c r="E5" s="55">
        <v>35.0</v>
      </c>
      <c r="F5" s="55">
        <v>6.0</v>
      </c>
      <c r="G5" s="64" t="str">
        <f>if(ShipSize=B5,A5,"")</f>
        <v/>
      </c>
    </row>
    <row r="6">
      <c r="A6" s="55" t="s">
        <v>653</v>
      </c>
      <c r="B6" s="55" t="s">
        <v>560</v>
      </c>
      <c r="C6" s="55">
        <v>14.0</v>
      </c>
      <c r="D6" s="55">
        <v>-2.0</v>
      </c>
      <c r="E6" s="55">
        <v>40.0</v>
      </c>
      <c r="F6" s="55">
        <v>7.0</v>
      </c>
      <c r="G6" s="64" t="str">
        <f>if(ShipSize=B6,A6,"")</f>
        <v/>
      </c>
    </row>
    <row r="7">
      <c r="A7" s="55" t="s">
        <v>655</v>
      </c>
      <c r="B7" s="55" t="s">
        <v>575</v>
      </c>
      <c r="C7" s="55">
        <v>6.0</v>
      </c>
      <c r="D7" s="55">
        <v>1.0</v>
      </c>
      <c r="E7" s="55">
        <v>30.0</v>
      </c>
      <c r="F7" s="55">
        <v>3.0</v>
      </c>
      <c r="G7" s="64" t="str">
        <f>if(ShipSize=B7,A7,"")</f>
        <v/>
      </c>
    </row>
    <row r="8">
      <c r="A8" s="55" t="s">
        <v>663</v>
      </c>
      <c r="B8" s="55" t="s">
        <v>575</v>
      </c>
      <c r="C8" s="55">
        <v>8.0</v>
      </c>
      <c r="D8" s="55">
        <v>0.0</v>
      </c>
      <c r="E8" s="55">
        <v>40.0</v>
      </c>
      <c r="F8" s="55">
        <v>4.0</v>
      </c>
      <c r="G8" s="64" t="str">
        <f>if(ShipSize=B8,A8,"")</f>
        <v/>
      </c>
    </row>
    <row r="9">
      <c r="A9" s="55" t="s">
        <v>673</v>
      </c>
      <c r="B9" s="55" t="s">
        <v>575</v>
      </c>
      <c r="C9" s="55">
        <v>10.0</v>
      </c>
      <c r="D9" s="55">
        <v>0.0</v>
      </c>
      <c r="E9" s="55">
        <v>50.0</v>
      </c>
      <c r="F9" s="55">
        <v>5.0</v>
      </c>
      <c r="G9" s="64" t="str">
        <f>if(ShipSize=B9,A9,"")</f>
        <v/>
      </c>
    </row>
    <row r="10">
      <c r="A10" s="55" t="s">
        <v>675</v>
      </c>
      <c r="B10" s="55" t="s">
        <v>575</v>
      </c>
      <c r="C10" s="55">
        <v>12.0</v>
      </c>
      <c r="D10" s="55">
        <v>-1.0</v>
      </c>
      <c r="E10" s="55">
        <v>60.0</v>
      </c>
      <c r="F10" s="55">
        <v>6.0</v>
      </c>
      <c r="G10" s="64" t="str">
        <f>if(ShipSize=B10,A10,"")</f>
        <v/>
      </c>
    </row>
    <row r="11">
      <c r="A11" s="55" t="s">
        <v>676</v>
      </c>
      <c r="B11" s="55" t="s">
        <v>162</v>
      </c>
      <c r="C11" s="55">
        <v>4.0</v>
      </c>
      <c r="D11" s="55">
        <v>2.0</v>
      </c>
      <c r="E11" s="55">
        <v>40.0</v>
      </c>
      <c r="F11" s="55">
        <v>2.0</v>
      </c>
      <c r="G11" s="64" t="str">
        <f>if(ShipSize=B11,A11,"")</f>
        <v/>
      </c>
    </row>
    <row r="12">
      <c r="A12" s="55" t="s">
        <v>677</v>
      </c>
      <c r="B12" s="55" t="s">
        <v>162</v>
      </c>
      <c r="C12" s="55">
        <v>6.0</v>
      </c>
      <c r="D12" s="55">
        <v>1.0</v>
      </c>
      <c r="E12" s="55">
        <v>50.0</v>
      </c>
      <c r="F12" s="55">
        <v>3.0</v>
      </c>
      <c r="G12" s="64" t="str">
        <f>if(ShipSize=B12,A12,"")</f>
        <v/>
      </c>
    </row>
    <row r="13">
      <c r="A13" s="55" t="s">
        <v>678</v>
      </c>
      <c r="B13" s="55" t="s">
        <v>162</v>
      </c>
      <c r="C13" s="55">
        <v>8.0</v>
      </c>
      <c r="D13" s="55">
        <v>0.0</v>
      </c>
      <c r="E13" s="55">
        <v>60.0</v>
      </c>
      <c r="F13" s="55">
        <v>4.0</v>
      </c>
      <c r="G13" s="64" t="str">
        <f>if(ShipSize=B13,A13,"")</f>
        <v/>
      </c>
    </row>
    <row r="14">
      <c r="A14" s="55" t="s">
        <v>679</v>
      </c>
      <c r="B14" s="55" t="s">
        <v>162</v>
      </c>
      <c r="C14" s="55">
        <v>10.0</v>
      </c>
      <c r="D14" s="55">
        <v>0.0</v>
      </c>
      <c r="E14" s="55">
        <v>70.0</v>
      </c>
      <c r="F14" s="55">
        <v>5.0</v>
      </c>
      <c r="G14" s="64" t="str">
        <f>if(ShipSize=B14,A14,"")</f>
        <v/>
      </c>
    </row>
    <row r="15">
      <c r="A15" s="55" t="s">
        <v>680</v>
      </c>
      <c r="B15" s="55" t="s">
        <v>162</v>
      </c>
      <c r="C15" s="55">
        <v>12.0</v>
      </c>
      <c r="D15" s="55">
        <v>-1.0</v>
      </c>
      <c r="E15" s="55">
        <v>80.0</v>
      </c>
      <c r="F15" s="55">
        <v>6.0</v>
      </c>
      <c r="G15" s="64" t="str">
        <f>if(ShipSize=B15,A15,"")</f>
        <v/>
      </c>
    </row>
    <row r="16">
      <c r="A16" s="55" t="s">
        <v>681</v>
      </c>
      <c r="B16" s="55" t="s">
        <v>157</v>
      </c>
      <c r="C16" s="55">
        <v>4.0</v>
      </c>
      <c r="D16" s="55">
        <v>2.0</v>
      </c>
      <c r="E16" s="55">
        <v>60.0</v>
      </c>
      <c r="F16" s="55">
        <v>4.0</v>
      </c>
      <c r="G16" s="64" t="str">
        <f>if(ShipSize=B16,A16,"")</f>
        <v/>
      </c>
    </row>
    <row r="17">
      <c r="A17" s="55" t="s">
        <v>682</v>
      </c>
      <c r="B17" s="55" t="s">
        <v>157</v>
      </c>
      <c r="C17" s="55">
        <v>6.0</v>
      </c>
      <c r="D17" s="55">
        <v>1.0</v>
      </c>
      <c r="E17" s="55">
        <v>80.0</v>
      </c>
      <c r="F17" s="55">
        <v>6.0</v>
      </c>
      <c r="G17" s="64" t="str">
        <f>if(ShipSize=B17,A17,"")</f>
        <v/>
      </c>
    </row>
    <row r="18">
      <c r="A18" s="55" t="s">
        <v>683</v>
      </c>
      <c r="B18" s="55" t="s">
        <v>157</v>
      </c>
      <c r="C18" s="55">
        <v>8.0</v>
      </c>
      <c r="D18" s="55">
        <v>0.0</v>
      </c>
      <c r="E18" s="55">
        <v>100.0</v>
      </c>
      <c r="F18" s="55">
        <v>8.0</v>
      </c>
      <c r="G18" s="64" t="str">
        <f>if(ShipSize=B18,A18,"")</f>
        <v/>
      </c>
    </row>
    <row r="19">
      <c r="A19" s="55" t="s">
        <v>684</v>
      </c>
      <c r="B19" s="55" t="s">
        <v>157</v>
      </c>
      <c r="C19" s="55">
        <v>10.0</v>
      </c>
      <c r="D19" s="55">
        <v>0.0</v>
      </c>
      <c r="E19" s="55">
        <v>120.0</v>
      </c>
      <c r="F19" s="55">
        <v>10.0</v>
      </c>
      <c r="G19" s="64" t="str">
        <f>if(ShipSize=B19,A19,"")</f>
        <v/>
      </c>
    </row>
    <row r="20">
      <c r="A20" s="55" t="s">
        <v>685</v>
      </c>
      <c r="B20" s="55" t="s">
        <v>155</v>
      </c>
      <c r="C20" s="55">
        <v>4.0</v>
      </c>
      <c r="D20" s="55">
        <v>2.0</v>
      </c>
      <c r="E20" s="55">
        <v>80.0</v>
      </c>
      <c r="F20" s="55">
        <v>4.0</v>
      </c>
      <c r="G20" s="64" t="str">
        <f>if(ShipSize=B20,A20,"")</f>
        <v/>
      </c>
    </row>
    <row r="21">
      <c r="A21" s="55" t="s">
        <v>687</v>
      </c>
      <c r="B21" s="55" t="s">
        <v>155</v>
      </c>
      <c r="C21" s="55">
        <v>6.0</v>
      </c>
      <c r="D21" s="55">
        <v>1.0</v>
      </c>
      <c r="E21" s="55">
        <v>120.0</v>
      </c>
      <c r="F21" s="55">
        <v>6.0</v>
      </c>
      <c r="G21" s="64" t="str">
        <f>if(ShipSize=B21,A21,"")</f>
        <v/>
      </c>
    </row>
    <row r="22">
      <c r="A22" s="55" t="s">
        <v>688</v>
      </c>
      <c r="B22" s="55" t="s">
        <v>155</v>
      </c>
      <c r="C22" s="55">
        <v>8.0</v>
      </c>
      <c r="D22" s="55">
        <v>0.0</v>
      </c>
      <c r="E22" s="55">
        <v>140.0</v>
      </c>
      <c r="F22" s="55">
        <v>8.0</v>
      </c>
      <c r="G22" s="64" t="str">
        <f>if(ShipSize=B22,A22,"")</f>
        <v/>
      </c>
    </row>
    <row r="23">
      <c r="A23" s="55" t="s">
        <v>689</v>
      </c>
      <c r="B23" s="55" t="s">
        <v>155</v>
      </c>
      <c r="C23" s="55">
        <v>10.0</v>
      </c>
      <c r="D23" s="55">
        <v>0.0</v>
      </c>
      <c r="E23" s="55">
        <v>160.0</v>
      </c>
      <c r="F23" s="55">
        <v>10.0</v>
      </c>
      <c r="G23" s="64" t="str">
        <f>if(ShipSize=B23,A23,"")</f>
        <v/>
      </c>
    </row>
    <row r="24">
      <c r="A24" s="55" t="s">
        <v>690</v>
      </c>
      <c r="B24" s="55" t="s">
        <v>604</v>
      </c>
      <c r="C24" s="55">
        <v>4.0</v>
      </c>
      <c r="D24" s="55">
        <v>2.0</v>
      </c>
      <c r="E24" s="55">
        <v>120.0</v>
      </c>
      <c r="F24" s="55">
        <v>8.0</v>
      </c>
      <c r="G24" s="64" t="str">
        <f>if(ShipSize=B24,A24,"")</f>
        <v/>
      </c>
    </row>
    <row r="25">
      <c r="A25" s="55" t="s">
        <v>691</v>
      </c>
      <c r="B25" s="55" t="s">
        <v>604</v>
      </c>
      <c r="C25" s="55">
        <v>6.0</v>
      </c>
      <c r="D25" s="55">
        <v>1.0</v>
      </c>
      <c r="E25" s="55">
        <v>180.0</v>
      </c>
      <c r="F25" s="55">
        <v>12.0</v>
      </c>
      <c r="G25" s="64" t="str">
        <f>if(ShipSize=B25,A25,"")</f>
        <v/>
      </c>
    </row>
    <row r="26">
      <c r="A26" s="55" t="s">
        <v>692</v>
      </c>
      <c r="B26" s="55" t="s">
        <v>604</v>
      </c>
      <c r="C26" s="55">
        <v>8.0</v>
      </c>
      <c r="D26" s="55">
        <v>0.0</v>
      </c>
      <c r="E26" s="55">
        <v>240.0</v>
      </c>
      <c r="F26" s="55">
        <v>16.0</v>
      </c>
      <c r="G26" s="64" t="str">
        <f>if(ShipSize=B26,A26,"")</f>
        <v/>
      </c>
    </row>
    <row r="27">
      <c r="A27" s="55" t="s">
        <v>693</v>
      </c>
      <c r="B27" s="55" t="s">
        <v>613</v>
      </c>
      <c r="C27" s="55">
        <v>4.0</v>
      </c>
      <c r="D27" s="55">
        <v>2.0</v>
      </c>
      <c r="E27" s="55">
        <v>200.0</v>
      </c>
      <c r="F27" s="55">
        <v>8.0</v>
      </c>
      <c r="G27" s="64" t="str">
        <f>if(ShipSize=B27,A27,"")</f>
        <v/>
      </c>
    </row>
    <row r="28">
      <c r="A28" s="55" t="s">
        <v>694</v>
      </c>
      <c r="B28" s="55" t="s">
        <v>613</v>
      </c>
      <c r="C28" s="55">
        <v>6.0</v>
      </c>
      <c r="D28" s="55">
        <v>1.0</v>
      </c>
      <c r="E28" s="55">
        <v>300.0</v>
      </c>
      <c r="F28" s="55">
        <v>12.0</v>
      </c>
      <c r="G28" s="64" t="str">
        <f>if(ShipSize=B28,A28,"")</f>
        <v/>
      </c>
    </row>
    <row r="29">
      <c r="A29" s="55" t="s">
        <v>695</v>
      </c>
      <c r="B29" s="55" t="s">
        <v>613</v>
      </c>
      <c r="C29" s="55">
        <v>8.0</v>
      </c>
      <c r="D29" s="55">
        <v>0.0</v>
      </c>
      <c r="E29" s="55">
        <v>400.0</v>
      </c>
      <c r="F29" s="55">
        <v>16.0</v>
      </c>
      <c r="G29" s="64" t="str">
        <f>if(ShipSize=B29,A29,"")</f>
        <v/>
      </c>
    </row>
  </sheetData>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0B5394"/>
  </sheetPr>
  <sheetViews>
    <sheetView workbookViewId="0">
      <pane xSplit="4.0" ySplit="5.0" topLeftCell="E6" activePane="bottomRight" state="frozen"/>
      <selection activeCell="E1" sqref="E1" pane="topRight"/>
      <selection activeCell="A6" sqref="A6" pane="bottomLeft"/>
      <selection activeCell="E6" sqref="E6" pane="bottomRight"/>
    </sheetView>
  </sheetViews>
  <sheetFormatPr customHeight="1" defaultColWidth="14.43" defaultRowHeight="15.75"/>
  <cols>
    <col customWidth="1" min="1" max="3" width="6.86"/>
    <col customWidth="1" min="4" max="4" width="37.29"/>
    <col customWidth="1" min="5" max="5" width="3.14"/>
    <col customWidth="1" min="6" max="6" width="21.14"/>
    <col customWidth="1" min="7" max="7" width="35.71"/>
    <col customWidth="1" min="8" max="8" width="8.86"/>
    <col customWidth="1" min="9" max="9" width="18.86"/>
    <col customWidth="1" hidden="1" min="10" max="12" width="8.86"/>
    <col customWidth="1" hidden="1" min="13" max="14" width="10.14"/>
  </cols>
  <sheetData>
    <row r="1" ht="18.75" customHeight="1">
      <c r="A1" s="6">
        <f t="array" ref="A1">iferror(index(TierBP,match(Tier,TierChoice,0)),0)</f>
        <v>0</v>
      </c>
      <c r="B1" s="6">
        <f>Core1PCU+Core2PCU</f>
        <v>0</v>
      </c>
      <c r="C1" s="6">
        <f>FrameBay</f>
        <v>0</v>
      </c>
      <c r="D1" s="11" t="s">
        <v>7</v>
      </c>
      <c r="E1" s="15" t="str">
        <f>if(BPremaining&lt;0,"Warning, negative Build Points","")</f>
        <v/>
      </c>
      <c r="J1" s="16"/>
      <c r="K1" s="16"/>
      <c r="L1" s="16"/>
      <c r="M1" s="16"/>
      <c r="N1" s="16"/>
    </row>
    <row r="2" ht="18.75" customHeight="1">
      <c r="A2" s="20">
        <f t="shared" ref="A2:C2" si="1">SUM(A5:A106)</f>
        <v>0</v>
      </c>
      <c r="B2" s="20">
        <f t="shared" si="1"/>
        <v>0</v>
      </c>
      <c r="C2" s="20">
        <f t="shared" si="1"/>
        <v>0</v>
      </c>
      <c r="D2" s="22" t="s">
        <v>18</v>
      </c>
      <c r="E2" s="15" t="str">
        <f>if(PCUremaining&lt;0,"Danger, Power Core Unit overdraw; remove or disable systems to prevent core overload","")</f>
        <v/>
      </c>
      <c r="J2" s="16"/>
      <c r="K2" s="16"/>
      <c r="L2" s="16"/>
      <c r="M2" s="16"/>
      <c r="N2" s="16"/>
    </row>
    <row r="3" ht="18.75" customHeight="1">
      <c r="A3" s="26">
        <f t="shared" ref="A3:C3" si="2">A1-A2</f>
        <v>0</v>
      </c>
      <c r="B3" s="26">
        <f t="shared" si="2"/>
        <v>0</v>
      </c>
      <c r="C3" s="26">
        <f t="shared" si="2"/>
        <v>0</v>
      </c>
      <c r="D3" s="28" t="s">
        <v>26</v>
      </c>
      <c r="E3" s="15" t="str">
        <f>if(BayRemaining&lt;0,"Overflow error; remove excess expansion bay(s).","")</f>
        <v/>
      </c>
      <c r="J3" s="16"/>
      <c r="K3" s="16"/>
      <c r="L3" s="16"/>
      <c r="M3" s="16"/>
      <c r="N3" s="16"/>
    </row>
    <row r="4" ht="51.75" customHeight="1">
      <c r="A4" s="30" t="s">
        <v>31</v>
      </c>
      <c r="B4" s="30" t="s">
        <v>33</v>
      </c>
      <c r="C4" s="30" t="s">
        <v>34</v>
      </c>
      <c r="D4" s="32" t="s">
        <v>35</v>
      </c>
      <c r="E4" s="34" t="s">
        <v>37</v>
      </c>
      <c r="J4" s="35" t="s">
        <v>40</v>
      </c>
      <c r="K4" s="35" t="s">
        <v>40</v>
      </c>
      <c r="L4" s="35" t="s">
        <v>40</v>
      </c>
      <c r="M4" s="38" t="s">
        <v>41</v>
      </c>
      <c r="N4" s="38" t="s">
        <v>41</v>
      </c>
    </row>
    <row r="5" ht="15.75" customHeight="1">
      <c r="D5" s="39" t="s">
        <v>44</v>
      </c>
      <c r="E5" s="40" t="s">
        <v>45</v>
      </c>
      <c r="J5" s="40"/>
      <c r="K5" s="40"/>
      <c r="L5" s="40"/>
      <c r="M5" s="40"/>
      <c r="N5" s="40"/>
    </row>
    <row r="6" ht="18.75" customHeight="1">
      <c r="A6" s="42"/>
      <c r="D6" s="43"/>
      <c r="E6" s="44"/>
      <c r="F6" s="45" t="s">
        <v>46</v>
      </c>
      <c r="J6" s="46"/>
      <c r="K6" s="46"/>
      <c r="L6" s="46"/>
      <c r="M6" s="46"/>
      <c r="N6" s="46"/>
    </row>
    <row r="7" ht="18.75" customHeight="1">
      <c r="D7" s="47"/>
      <c r="E7" s="44"/>
      <c r="F7" s="45" t="s">
        <v>47</v>
      </c>
      <c r="J7" s="46"/>
      <c r="K7" s="46"/>
      <c r="L7" s="46"/>
      <c r="M7" s="46"/>
      <c r="N7" s="46"/>
    </row>
    <row r="8" ht="18.75" customHeight="1">
      <c r="A8" s="49" t="s">
        <v>48</v>
      </c>
      <c r="D8" s="51"/>
      <c r="E8" s="40" t="s">
        <v>49</v>
      </c>
      <c r="J8" s="40"/>
      <c r="K8" s="40"/>
      <c r="L8" s="40"/>
      <c r="M8" s="40"/>
      <c r="N8" s="40"/>
    </row>
    <row r="9" ht="18.75" customHeight="1">
      <c r="A9" s="56">
        <f t="array" ref="A9">iferror(index(FrameBPCost,match(Frame,FrameChoice,0)),0)</f>
        <v>0</v>
      </c>
      <c r="B9" s="57" t="s">
        <v>57</v>
      </c>
      <c r="C9" s="57" t="s">
        <v>57</v>
      </c>
      <c r="D9" s="59"/>
      <c r="E9" s="40" t="s">
        <v>59</v>
      </c>
      <c r="J9" s="40"/>
      <c r="K9" s="40"/>
      <c r="L9" s="40"/>
      <c r="M9" s="40"/>
      <c r="N9" s="40"/>
    </row>
    <row r="10" ht="18.75" customHeight="1">
      <c r="A10" s="42"/>
      <c r="B10" s="42"/>
      <c r="C10" s="42"/>
      <c r="D10" s="42"/>
      <c r="E10" s="61"/>
      <c r="F10" s="66" t="s">
        <v>63</v>
      </c>
      <c r="G10" s="69" t="str">
        <f t="array" ref="G10">iferror(index(FrameSize,match(Frame,FrameChoice,0)),"-")</f>
        <v>-</v>
      </c>
      <c r="J10" s="69"/>
      <c r="K10" s="69"/>
      <c r="L10" s="69"/>
      <c r="M10" s="69"/>
      <c r="N10" s="69"/>
    </row>
    <row r="11" ht="18.75" customHeight="1">
      <c r="E11" s="61"/>
      <c r="F11" s="66" t="s">
        <v>74</v>
      </c>
      <c r="G11" s="69" t="str">
        <f t="array" ref="G11">iferror(index(FrameManueverability,match(Frame,FrameChoice,0)),"-")</f>
        <v>-</v>
      </c>
      <c r="J11" s="69"/>
      <c r="K11" s="69"/>
      <c r="L11" s="69"/>
      <c r="M11" s="69"/>
      <c r="N11" s="69"/>
    </row>
    <row r="12" ht="18.75" customHeight="1">
      <c r="E12" s="61"/>
      <c r="F12" s="66" t="s">
        <v>76</v>
      </c>
      <c r="G12" s="69">
        <f t="array" ref="G12">iferror(index(FrameHP,match(Frame,FrameChoice,0)),0)</f>
        <v>0</v>
      </c>
      <c r="J12" s="69"/>
      <c r="K12" s="69"/>
      <c r="L12" s="69"/>
      <c r="M12" s="69"/>
      <c r="N12" s="69"/>
    </row>
    <row r="13" ht="18.75" customHeight="1">
      <c r="E13" s="61"/>
      <c r="F13" s="66" t="s">
        <v>80</v>
      </c>
      <c r="G13" s="69">
        <f t="array" ref="G13">iferror(index(FrameIncrement,match(Frame,FrameChoice,0)),0)</f>
        <v>0</v>
      </c>
      <c r="J13" s="69"/>
      <c r="K13" s="69"/>
      <c r="L13" s="69"/>
      <c r="M13" s="69"/>
      <c r="N13" s="69"/>
    </row>
    <row r="14" ht="18.75" customHeight="1">
      <c r="E14" s="61"/>
      <c r="F14" s="66" t="s">
        <v>17</v>
      </c>
      <c r="G14" s="69" t="str">
        <f t="array" ref="G14">iferror(index(FrameDT,match(Frame,FrameChoice,0)),"-")</f>
        <v>-</v>
      </c>
      <c r="J14" s="69"/>
      <c r="K14" s="69"/>
      <c r="L14" s="69"/>
      <c r="M14" s="69"/>
      <c r="N14" s="69"/>
    </row>
    <row r="15" ht="18.75" customHeight="1">
      <c r="E15" s="61"/>
      <c r="F15" s="66" t="s">
        <v>86</v>
      </c>
      <c r="G15" s="69" t="str">
        <f t="array" ref="G15">iferror(index(FrameCT,match(Frame,FrameChoice,0)),"-")</f>
        <v>-</v>
      </c>
      <c r="J15" s="69"/>
      <c r="K15" s="69"/>
      <c r="L15" s="69"/>
      <c r="M15" s="69"/>
      <c r="N15" s="69"/>
    </row>
    <row r="16" ht="18.75" customHeight="1">
      <c r="E16" s="61"/>
      <c r="F16" s="66" t="s">
        <v>87</v>
      </c>
      <c r="G16" s="78" t="str">
        <f t="array" ref="G16">iferror(index(FrameMountsT,match(Frame,FrameChoice,0)),"-")</f>
        <v>-</v>
      </c>
      <c r="J16" s="78"/>
      <c r="K16" s="78"/>
      <c r="L16" s="78"/>
      <c r="M16" s="78"/>
      <c r="N16" s="78"/>
    </row>
    <row r="17" ht="18.75" customHeight="1">
      <c r="E17" s="61"/>
      <c r="F17" s="66" t="s">
        <v>88</v>
      </c>
      <c r="G17" s="69">
        <f t="array" ref="G17">IFERROR(index(FrameBays,match(Frame,FrameChoice,0)),0)</f>
        <v>0</v>
      </c>
      <c r="J17" s="69"/>
      <c r="K17" s="69"/>
      <c r="L17" s="69"/>
      <c r="M17" s="69"/>
      <c r="N17" s="69"/>
    </row>
    <row r="18" ht="18.75" customHeight="1">
      <c r="E18" s="61"/>
      <c r="F18" s="66" t="s">
        <v>89</v>
      </c>
      <c r="G18" s="69">
        <f t="array" ref="G18">iferror(index(FrameCrewMin,match(Frame,FrameChoice,0)),0)</f>
        <v>0</v>
      </c>
      <c r="J18" s="69"/>
      <c r="K18" s="69"/>
      <c r="L18" s="69"/>
      <c r="M18" s="69"/>
      <c r="N18" s="69"/>
    </row>
    <row r="19" ht="18.75" customHeight="1">
      <c r="E19" s="61"/>
      <c r="F19" s="66" t="s">
        <v>90</v>
      </c>
      <c r="G19" s="69">
        <f t="array" ref="G19">iferror(index(FrameCrewMax,match(Frame,FrameChoice,0)),0)</f>
        <v>0</v>
      </c>
      <c r="J19" s="69"/>
      <c r="K19" s="69"/>
      <c r="L19" s="69"/>
      <c r="M19" s="69"/>
      <c r="N19" s="69"/>
    </row>
    <row r="20" ht="18.75" customHeight="1">
      <c r="E20" s="61"/>
      <c r="F20" s="66" t="s">
        <v>91</v>
      </c>
      <c r="G20" s="69" t="str">
        <f t="array" ref="G20">iferror(index(FrameNotes,match(Frame,FrameChoice,0)),"-")</f>
        <v>-</v>
      </c>
      <c r="J20" s="69"/>
      <c r="K20" s="69"/>
      <c r="L20" s="69"/>
      <c r="M20" s="69"/>
      <c r="N20" s="69"/>
    </row>
    <row r="21" ht="18.75" customHeight="1">
      <c r="A21" s="56">
        <f t="array" ref="A21">iferror(index(CoreBPCost,match(Core1,CoreChoice,0)),0)</f>
        <v>0</v>
      </c>
      <c r="B21" s="57" t="s">
        <v>57</v>
      </c>
      <c r="C21" s="57" t="s">
        <v>57</v>
      </c>
      <c r="D21" s="47"/>
      <c r="E21" s="40" t="s">
        <v>96</v>
      </c>
      <c r="J21" s="40"/>
      <c r="K21" s="40"/>
      <c r="L21" s="40"/>
      <c r="M21" s="40"/>
      <c r="N21" s="40"/>
    </row>
    <row r="22" ht="18.75" customHeight="1">
      <c r="A22" s="85"/>
      <c r="B22" s="85"/>
      <c r="C22" s="85"/>
      <c r="D22" s="85"/>
      <c r="E22" s="61"/>
      <c r="F22" s="66" t="s">
        <v>98</v>
      </c>
      <c r="G22" s="69">
        <f t="array" ref="G22">iferror(index(CorePCUCost,match(Core1,CoreChoice,0)),0)</f>
        <v>0</v>
      </c>
      <c r="J22" s="69"/>
      <c r="K22" s="69"/>
      <c r="L22" s="69"/>
      <c r="M22" s="69"/>
      <c r="N22" s="69"/>
    </row>
    <row r="23" ht="18.75" customHeight="1">
      <c r="A23" s="56">
        <f t="array" ref="A23">iferror(index(CoreBPCost,match(Core2,CoreChoice,0)),0)</f>
        <v>0</v>
      </c>
      <c r="B23" s="57" t="s">
        <v>57</v>
      </c>
      <c r="C23" s="57" t="s">
        <v>57</v>
      </c>
      <c r="D23" s="47"/>
      <c r="E23" s="44"/>
      <c r="F23" s="45" t="s">
        <v>102</v>
      </c>
      <c r="J23" s="46"/>
      <c r="K23" s="46"/>
      <c r="L23" s="46"/>
      <c r="M23" s="46"/>
      <c r="N23" s="46"/>
    </row>
    <row r="24" ht="18.75" customHeight="1">
      <c r="A24" s="85"/>
      <c r="B24" s="85"/>
      <c r="C24" s="85"/>
      <c r="D24" s="85"/>
      <c r="E24" s="61"/>
      <c r="F24" s="66" t="s">
        <v>98</v>
      </c>
      <c r="G24" s="69">
        <f t="array" ref="G24">iferror(index(CorePCUCost,match(Core2,CoreChoice,0)),0)</f>
        <v>0</v>
      </c>
      <c r="J24" s="69"/>
      <c r="K24" s="69"/>
      <c r="L24" s="69"/>
      <c r="M24" s="69"/>
      <c r="N24" s="69"/>
    </row>
    <row r="25" ht="18.75" customHeight="1">
      <c r="A25" s="56">
        <f t="array" ref="A25">iferror(index(ThrusterBPCost,match(Thruster,ThrusterEligible,0)),0)</f>
        <v>0</v>
      </c>
      <c r="B25" s="56">
        <f t="array" ref="B25">IFERROR(index(ThrusterPCUCost,match(Thruster,ThrusterEligible,0)),0)</f>
        <v>0</v>
      </c>
      <c r="C25" s="57" t="s">
        <v>57</v>
      </c>
      <c r="D25" s="47"/>
      <c r="E25" s="40" t="s">
        <v>107</v>
      </c>
      <c r="J25" s="40"/>
      <c r="K25" s="40"/>
      <c r="L25" s="40"/>
      <c r="M25" s="40"/>
      <c r="N25" s="40"/>
    </row>
    <row r="26" ht="18.75" customHeight="1">
      <c r="A26" s="42"/>
      <c r="B26" s="42"/>
      <c r="C26" s="42"/>
      <c r="D26" s="42"/>
      <c r="E26" s="92"/>
      <c r="F26" s="93" t="s">
        <v>110</v>
      </c>
      <c r="G26" s="69">
        <f t="array" ref="G26">iferror(index(ThrusterSpeed,match(Thruster,ThrusterEligible,0)),0)</f>
        <v>0</v>
      </c>
      <c r="J26" s="69"/>
      <c r="K26" s="69"/>
      <c r="L26" s="69"/>
      <c r="M26" s="69"/>
      <c r="N26" s="69"/>
    </row>
    <row r="27" ht="18.75" customHeight="1">
      <c r="E27" s="92"/>
      <c r="F27" s="93" t="s">
        <v>111</v>
      </c>
      <c r="G27" s="69">
        <f t="array" ref="G27">iferror(index(ThrusterPiloting,match(Thruster,ThrusterEligible,0)),0)</f>
        <v>0</v>
      </c>
      <c r="J27" s="69"/>
      <c r="K27" s="69"/>
      <c r="L27" s="69"/>
      <c r="M27" s="69"/>
      <c r="N27" s="69"/>
    </row>
    <row r="28" ht="18.75" customHeight="1">
      <c r="E28" s="40" t="s">
        <v>112</v>
      </c>
      <c r="J28" s="40"/>
      <c r="K28" s="40"/>
      <c r="L28" s="40"/>
      <c r="M28" s="40"/>
      <c r="N28" s="40"/>
    </row>
    <row r="29" ht="18.75" customHeight="1">
      <c r="A29" s="56">
        <f t="array" ref="A29">iferror(index(ArmorBPCost,match(Armor,ArmorChoice,0)),0)</f>
        <v>0</v>
      </c>
      <c r="B29" s="57" t="s">
        <v>57</v>
      </c>
      <c r="C29" s="57" t="s">
        <v>57</v>
      </c>
      <c r="D29" s="47"/>
      <c r="E29" s="40" t="s">
        <v>115</v>
      </c>
      <c r="J29" s="40"/>
      <c r="K29" s="40"/>
      <c r="L29" s="40"/>
      <c r="M29" s="40"/>
      <c r="N29" s="40"/>
    </row>
    <row r="30" ht="18.75" customHeight="1">
      <c r="A30" s="42"/>
      <c r="B30" s="42"/>
      <c r="C30" s="42"/>
      <c r="D30" s="42"/>
      <c r="E30" s="96"/>
      <c r="F30" s="98" t="s">
        <v>117</v>
      </c>
      <c r="G30" s="69">
        <f t="array" ref="G30">iferror(index(ArmorAC,match(Armor,ArmorChoice,0)),0)</f>
        <v>0</v>
      </c>
      <c r="J30" s="69"/>
      <c r="K30" s="69"/>
      <c r="L30" s="69"/>
      <c r="M30" s="69"/>
      <c r="N30" s="69"/>
    </row>
    <row r="31" ht="18.75" customHeight="1">
      <c r="E31" s="96"/>
      <c r="F31" s="98" t="s">
        <v>135</v>
      </c>
      <c r="G31" s="69" t="str">
        <f t="array" ref="G31">iferror(index(ArmorSpecial,match(Armor,ArmorChoice,0)),"-")</f>
        <v>-</v>
      </c>
      <c r="J31" s="69"/>
      <c r="K31" s="69"/>
      <c r="L31" s="69"/>
      <c r="M31" s="69"/>
      <c r="N31" s="69"/>
    </row>
    <row r="32" ht="18.75" customHeight="1">
      <c r="A32" s="56">
        <f t="array" ref="A32">iferror(index(ICMBPCost,match(ICM,ICMChoice,0)),0)</f>
        <v>0</v>
      </c>
      <c r="B32" s="56">
        <f t="array" ref="B32">iferror(index(ICMPCUCost,match(ICM,ICMChoice,0)),0)</f>
        <v>0</v>
      </c>
      <c r="C32" s="57" t="s">
        <v>57</v>
      </c>
      <c r="D32" s="47"/>
      <c r="E32" s="40" t="s">
        <v>138</v>
      </c>
      <c r="J32" s="102"/>
      <c r="K32" s="102"/>
      <c r="L32" s="102"/>
      <c r="M32" s="102"/>
      <c r="N32" s="102"/>
    </row>
    <row r="33" ht="18.75" customHeight="1">
      <c r="A33" s="42"/>
      <c r="B33" s="42"/>
      <c r="C33" s="42"/>
      <c r="D33" s="42"/>
      <c r="E33" s="96"/>
      <c r="F33" s="98" t="s">
        <v>139</v>
      </c>
      <c r="G33" s="69">
        <f t="array" ref="G33">iferror(index(ICMBonusT,match(ICM,ICMChoice,0)),0)</f>
        <v>0</v>
      </c>
      <c r="J33" s="69"/>
      <c r="K33" s="69"/>
      <c r="L33" s="69"/>
      <c r="M33" s="69"/>
      <c r="N33" s="69"/>
    </row>
    <row r="34" ht="18.75" customHeight="1">
      <c r="E34" s="96"/>
      <c r="F34" s="98" t="s">
        <v>142</v>
      </c>
      <c r="G34" s="69">
        <f t="array" ref="G34">iferror(index(ICMNodes,match(ICM,ICMChoice,0)),0)</f>
        <v>0</v>
      </c>
      <c r="J34" s="69"/>
      <c r="K34" s="69"/>
      <c r="L34" s="69"/>
      <c r="M34" s="69"/>
      <c r="N34" s="69"/>
    </row>
    <row r="35" ht="18.75" customHeight="1">
      <c r="A35" s="56">
        <f t="array" ref="A35">IFERROR(index(CrewBPCost,match(Crew,CrewChoice,0)),0)</f>
        <v>0</v>
      </c>
      <c r="B35" s="57" t="s">
        <v>57</v>
      </c>
      <c r="C35" s="57" t="s">
        <v>57</v>
      </c>
      <c r="D35" s="47"/>
      <c r="E35" s="40" t="s">
        <v>150</v>
      </c>
      <c r="J35" s="102"/>
      <c r="K35" s="102"/>
      <c r="L35" s="102"/>
      <c r="M35" s="102"/>
      <c r="N35" s="102"/>
    </row>
    <row r="36" ht="18.75" customHeight="1">
      <c r="A36" s="56">
        <f t="array" ref="A36">iferror(index(DefensiveBPCost,match(DefCounter,DefensiveChoice,0)),0)</f>
        <v>0</v>
      </c>
      <c r="B36" s="56">
        <f t="array" ref="B36">iferror(index(DefensivePCUCost,match(DefCounter,DefensiveChoice,0)),0)</f>
        <v>0</v>
      </c>
      <c r="C36" s="57" t="s">
        <v>57</v>
      </c>
      <c r="D36" s="47"/>
      <c r="E36" s="40" t="s">
        <v>152</v>
      </c>
      <c r="J36" s="102"/>
      <c r="K36" s="102"/>
      <c r="L36" s="102"/>
      <c r="M36" s="102"/>
      <c r="N36" s="102"/>
    </row>
    <row r="37" ht="18.75" customHeight="1">
      <c r="A37" s="42"/>
      <c r="B37" s="42"/>
      <c r="C37" s="42"/>
      <c r="D37" s="42"/>
      <c r="E37" s="96"/>
      <c r="F37" s="98" t="s">
        <v>153</v>
      </c>
      <c r="G37" s="69">
        <f t="array" ref="G37">iferror(index(DefensiveTL,match(DefCounter,DefensiveChoice,0)),0)</f>
        <v>0</v>
      </c>
      <c r="J37" s="69"/>
      <c r="K37" s="69"/>
      <c r="L37" s="69"/>
      <c r="M37" s="69"/>
      <c r="N37" s="69"/>
    </row>
    <row r="38" ht="18.75" customHeight="1">
      <c r="A38" s="57">
        <f t="array" ref="A38">iferror(index(DriftBPCost,match(Drift,DriftChoice,0)),0)</f>
        <v>0</v>
      </c>
      <c r="B38" s="57" t="s">
        <v>57</v>
      </c>
      <c r="C38" s="57" t="s">
        <v>57</v>
      </c>
      <c r="D38" s="47"/>
      <c r="E38" s="40" t="s">
        <v>158</v>
      </c>
      <c r="J38" s="102"/>
      <c r="K38" s="102"/>
      <c r="L38" s="102"/>
      <c r="M38" s="102"/>
      <c r="N38" s="102"/>
    </row>
    <row r="39" ht="18.75" customHeight="1">
      <c r="A39" s="42"/>
      <c r="B39" s="42"/>
      <c r="C39" s="42"/>
      <c r="D39" s="42"/>
      <c r="E39" s="92"/>
      <c r="F39" s="93" t="s">
        <v>160</v>
      </c>
      <c r="G39" s="69">
        <f t="array" ref="G39">iferror(index(DriftPCUMin,match(Drift,DriftChoice,0)),0)</f>
        <v>0</v>
      </c>
      <c r="J39" s="69"/>
      <c r="K39" s="69"/>
      <c r="L39" s="69"/>
      <c r="M39" s="69"/>
      <c r="N39" s="69"/>
    </row>
    <row r="40" ht="18.75" customHeight="1">
      <c r="E40" s="96"/>
      <c r="F40" s="98" t="s">
        <v>163</v>
      </c>
      <c r="G40" s="69">
        <f t="array" ref="G40">iferror(index(DriftRatingT,match(Drift,DriftChoice,0)),0)</f>
        <v>0</v>
      </c>
      <c r="J40" s="69"/>
      <c r="K40" s="69"/>
      <c r="L40" s="69"/>
      <c r="M40" s="69"/>
      <c r="N40" s="69"/>
    </row>
    <row r="41" ht="18.75" customHeight="1">
      <c r="E41" s="40" t="s">
        <v>165</v>
      </c>
      <c r="J41" s="111"/>
      <c r="K41" s="102"/>
      <c r="L41" s="102"/>
      <c r="M41" s="102"/>
      <c r="N41" s="102"/>
    </row>
    <row r="42" ht="18.75" customHeight="1">
      <c r="A42" s="56">
        <f t="array" ref="A42">iferror(index(AntiHackingBPCost,match(AntiHacking,AntiHackingChoice,0)),0)</f>
        <v>0</v>
      </c>
      <c r="B42" s="57" t="s">
        <v>57</v>
      </c>
      <c r="C42" s="57" t="s">
        <v>57</v>
      </c>
      <c r="D42" s="47"/>
      <c r="E42" s="113"/>
      <c r="F42" s="114" t="s">
        <v>168</v>
      </c>
      <c r="J42" s="114" t="s">
        <v>57</v>
      </c>
      <c r="K42" s="115"/>
      <c r="L42" s="115"/>
      <c r="M42" s="115"/>
      <c r="N42" s="115"/>
    </row>
    <row r="43" ht="18.75" customHeight="1">
      <c r="A43" s="56">
        <f t="array" ref="A43">iferror(index(AntipersonnelBPCost,match(Antipersonnel,AntipersonnelChoice,0)),0)</f>
        <v>0</v>
      </c>
      <c r="B43" s="57" t="s">
        <v>57</v>
      </c>
      <c r="C43" s="57" t="s">
        <v>57</v>
      </c>
      <c r="D43" s="47"/>
      <c r="E43" s="113"/>
      <c r="F43" s="114" t="s">
        <v>170</v>
      </c>
      <c r="J43" s="114" t="s">
        <v>57</v>
      </c>
      <c r="K43" s="115"/>
      <c r="L43" s="115"/>
      <c r="M43" s="115"/>
      <c r="N43" s="115"/>
    </row>
    <row r="44" ht="18.75" customHeight="1">
      <c r="A44" s="56">
        <f>if(Biometric=F44, 5, 0)</f>
        <v>0</v>
      </c>
      <c r="B44" s="57" t="s">
        <v>57</v>
      </c>
      <c r="C44" s="57" t="s">
        <v>57</v>
      </c>
      <c r="D44" s="47"/>
      <c r="E44" s="113"/>
      <c r="F44" s="114" t="s">
        <v>172</v>
      </c>
      <c r="J44" s="114" t="s">
        <v>57</v>
      </c>
      <c r="K44" s="115"/>
      <c r="L44" s="115"/>
      <c r="M44" s="115"/>
      <c r="N44" s="115"/>
    </row>
    <row r="45" ht="18.75" customHeight="1">
      <c r="A45" s="56">
        <f>if(SelfDestruct=F45,5*ShipSizeNum,0)</f>
        <v>0</v>
      </c>
      <c r="B45" s="57" t="s">
        <v>57</v>
      </c>
      <c r="C45" s="57" t="s">
        <v>57</v>
      </c>
      <c r="D45" s="47"/>
      <c r="E45" s="113"/>
      <c r="F45" s="114" t="s">
        <v>175</v>
      </c>
      <c r="J45" s="114" t="s">
        <v>57</v>
      </c>
      <c r="K45" s="115"/>
      <c r="L45" s="115"/>
      <c r="M45" s="115"/>
      <c r="N45" s="115"/>
    </row>
    <row r="46" ht="18.75" customHeight="1">
      <c r="A46" s="121"/>
      <c r="B46" s="121"/>
      <c r="C46" s="121"/>
      <c r="D46" s="121"/>
      <c r="E46" s="40" t="s">
        <v>178</v>
      </c>
      <c r="J46" s="123"/>
      <c r="K46" s="125"/>
      <c r="L46" s="125"/>
      <c r="M46" s="125"/>
      <c r="N46" s="125"/>
    </row>
    <row r="47" ht="18.75" customHeight="1">
      <c r="A47" s="56">
        <f>if(D47=F47,ICMTier, 0)</f>
        <v>0</v>
      </c>
      <c r="B47" s="57" t="s">
        <v>57</v>
      </c>
      <c r="C47" s="57" t="s">
        <v>57</v>
      </c>
      <c r="D47" s="47"/>
      <c r="E47" s="113"/>
      <c r="F47" s="114" t="s">
        <v>184</v>
      </c>
      <c r="J47" s="114" t="s">
        <v>57</v>
      </c>
      <c r="K47" s="128"/>
      <c r="L47" s="128"/>
      <c r="M47" s="128"/>
      <c r="N47" s="128"/>
    </row>
    <row r="48" ht="18.75" customHeight="1">
      <c r="A48" s="56">
        <f>if(D48=F48,ICMTier, 0)</f>
        <v>0</v>
      </c>
      <c r="B48" s="57" t="s">
        <v>57</v>
      </c>
      <c r="C48" s="57" t="s">
        <v>57</v>
      </c>
      <c r="D48" s="47"/>
      <c r="E48" s="113"/>
      <c r="F48" s="114" t="s">
        <v>186</v>
      </c>
      <c r="J48" s="114" t="s">
        <v>57</v>
      </c>
      <c r="K48" s="128"/>
      <c r="L48" s="128"/>
      <c r="M48" s="128"/>
      <c r="N48" s="128"/>
    </row>
    <row r="49" ht="18.75" customHeight="1">
      <c r="A49" s="56">
        <f>if(D49=F49,ICMTier, 0)</f>
        <v>0</v>
      </c>
      <c r="B49" s="57" t="s">
        <v>57</v>
      </c>
      <c r="C49" s="57" t="s">
        <v>57</v>
      </c>
      <c r="D49" s="47"/>
      <c r="E49" s="113"/>
      <c r="F49" s="114" t="s">
        <v>188</v>
      </c>
      <c r="J49" s="114" t="s">
        <v>57</v>
      </c>
      <c r="K49" s="128"/>
      <c r="L49" s="128"/>
      <c r="M49" s="128"/>
      <c r="N49" s="128"/>
    </row>
    <row r="50" ht="18.75" customHeight="1">
      <c r="A50" s="56">
        <f>if(D50=F50,ICMTier, 0)</f>
        <v>0</v>
      </c>
      <c r="B50" s="57" t="s">
        <v>57</v>
      </c>
      <c r="C50" s="57" t="s">
        <v>57</v>
      </c>
      <c r="D50" s="47"/>
      <c r="E50" s="113"/>
      <c r="F50" s="114" t="s">
        <v>189</v>
      </c>
      <c r="J50" s="114" t="s">
        <v>57</v>
      </c>
      <c r="K50" s="128"/>
      <c r="L50" s="128"/>
      <c r="M50" s="128"/>
      <c r="N50" s="128"/>
    </row>
    <row r="51" ht="18.75" customHeight="1">
      <c r="A51" s="56">
        <f>if(D51=F51,ICMTier, 0)</f>
        <v>0</v>
      </c>
      <c r="B51" s="57" t="s">
        <v>57</v>
      </c>
      <c r="C51" s="57" t="s">
        <v>57</v>
      </c>
      <c r="D51" s="47"/>
      <c r="E51" s="113"/>
      <c r="F51" s="114" t="s">
        <v>190</v>
      </c>
      <c r="J51" s="114" t="s">
        <v>57</v>
      </c>
      <c r="K51" s="128"/>
      <c r="L51" s="128"/>
      <c r="M51" s="128"/>
      <c r="N51" s="128"/>
    </row>
    <row r="52" ht="18.75" customHeight="1">
      <c r="A52" s="56">
        <f t="array" ref="A52">iferror(index(CounterShockBPCost,match(ComCounterShock,CounterShockChoice,0)),0)</f>
        <v>0</v>
      </c>
      <c r="B52" s="57" t="s">
        <v>57</v>
      </c>
      <c r="C52" s="57" t="s">
        <v>57</v>
      </c>
      <c r="D52" s="47"/>
      <c r="E52" s="113"/>
      <c r="F52" s="114" t="s">
        <v>191</v>
      </c>
      <c r="J52" s="114" t="s">
        <v>57</v>
      </c>
      <c r="K52" s="128"/>
      <c r="L52" s="128"/>
      <c r="M52" s="128"/>
      <c r="N52" s="128"/>
    </row>
    <row r="53" ht="18.75" customHeight="1">
      <c r="A53" s="56">
        <f>if(D53=F53,ICMTier, 0)</f>
        <v>0</v>
      </c>
      <c r="B53" s="57" t="s">
        <v>57</v>
      </c>
      <c r="C53" s="57" t="s">
        <v>57</v>
      </c>
      <c r="D53" s="47"/>
      <c r="E53" s="113"/>
      <c r="F53" s="114" t="s">
        <v>192</v>
      </c>
      <c r="J53" s="114" t="s">
        <v>57</v>
      </c>
      <c r="K53" s="128"/>
      <c r="L53" s="128"/>
      <c r="M53" s="128"/>
      <c r="N53" s="128"/>
    </row>
    <row r="54" ht="18.75" customHeight="1">
      <c r="A54" s="56">
        <f t="array" ref="A54">iferror(index(SensorBPCost,match(Sensor,SensorChoice,0)),0)</f>
        <v>0</v>
      </c>
      <c r="B54" s="57" t="s">
        <v>57</v>
      </c>
      <c r="C54" s="57" t="s">
        <v>57</v>
      </c>
      <c r="D54" s="47"/>
      <c r="E54" s="40" t="s">
        <v>193</v>
      </c>
      <c r="J54" s="102"/>
      <c r="K54" s="102"/>
      <c r="L54" s="102"/>
      <c r="M54" s="102"/>
      <c r="N54" s="102"/>
    </row>
    <row r="55" ht="18.75" customHeight="1">
      <c r="A55" s="42"/>
      <c r="B55" s="42"/>
      <c r="C55" s="42"/>
      <c r="D55" s="42"/>
      <c r="E55" s="96"/>
      <c r="F55" s="98" t="s">
        <v>194</v>
      </c>
      <c r="G55" s="69">
        <f t="array" ref="G55">iferror(index(SensorRange,match(Sensor,SensorChoice,0)),0)</f>
        <v>0</v>
      </c>
      <c r="J55" s="69"/>
      <c r="K55" s="69"/>
      <c r="L55" s="69"/>
      <c r="M55" s="69"/>
      <c r="N55" s="69"/>
    </row>
    <row r="56" ht="18.75" customHeight="1">
      <c r="E56" s="96"/>
      <c r="F56" s="98" t="s">
        <v>196</v>
      </c>
      <c r="G56" s="69">
        <f t="array" ref="G56">iferror(index(SensorMod,match(Sensor,SensorChoice,0)),0)</f>
        <v>0</v>
      </c>
      <c r="J56" s="69"/>
      <c r="K56" s="69"/>
      <c r="L56" s="69"/>
      <c r="M56" s="69"/>
      <c r="N56" s="69"/>
    </row>
    <row r="57" ht="18.75" customHeight="1">
      <c r="A57" s="56">
        <f t="array" ref="A57">IFERROR(index(ShieldBPCost,match(Shield,ShieldChoice,0)),0)</f>
        <v>0</v>
      </c>
      <c r="B57" s="56">
        <f t="array" ref="B57">iferror(index(ShieldPCUCost,match(Shield,ShieldChoice,0)),0)</f>
        <v>0</v>
      </c>
      <c r="C57" s="57" t="s">
        <v>57</v>
      </c>
      <c r="D57" s="47"/>
      <c r="E57" s="40" t="s">
        <v>198</v>
      </c>
      <c r="J57" s="102"/>
      <c r="K57" s="102"/>
      <c r="L57" s="102"/>
      <c r="M57" s="102"/>
      <c r="N57" s="102"/>
    </row>
    <row r="58" ht="18.75" customHeight="1">
      <c r="A58" s="42"/>
      <c r="B58" s="42"/>
      <c r="C58" s="42"/>
      <c r="D58" s="42"/>
      <c r="E58" s="96"/>
      <c r="F58" s="98" t="s">
        <v>199</v>
      </c>
      <c r="G58" s="69">
        <f t="array" ref="G58">iferror(index(ShieldSP,match(Shield,ShieldChoice,0)),0)</f>
        <v>0</v>
      </c>
      <c r="J58" s="69"/>
      <c r="K58" s="69"/>
      <c r="L58" s="69"/>
      <c r="M58" s="69"/>
      <c r="N58" s="69"/>
    </row>
    <row r="59" ht="18.75" customHeight="1">
      <c r="E59" s="96"/>
      <c r="F59" s="98" t="s">
        <v>201</v>
      </c>
      <c r="G59" s="69">
        <f t="array" ref="G59">iferror(index(ShieldRegen,match(Shield,ShieldChoice,0)),0)</f>
        <v>0</v>
      </c>
      <c r="J59" s="69"/>
      <c r="K59" s="69"/>
      <c r="L59" s="69"/>
      <c r="M59" s="69"/>
      <c r="N59" s="69"/>
    </row>
    <row r="60" ht="18.75" customHeight="1">
      <c r="E60" s="40" t="s">
        <v>202</v>
      </c>
      <c r="J60" s="144"/>
      <c r="K60" s="144"/>
      <c r="L60" s="144"/>
      <c r="M60" s="144"/>
      <c r="N60" s="144"/>
    </row>
    <row r="61" ht="18.75" customHeight="1">
      <c r="A61" s="56">
        <f t="array" ref="A61">iferror(index(BayBPCost,match(D61,BayChoice,0)),0)</f>
        <v>0</v>
      </c>
      <c r="B61" s="57">
        <f t="array" ref="B61">iferror(index(BayPCUCost,match(D61,BayChoice,0)),0)</f>
        <v>0</v>
      </c>
      <c r="C61" s="57">
        <f t="array" ref="C61">iferror(index(BayUsed,match(D61,BayChoice,0)),0)</f>
        <v>0</v>
      </c>
      <c r="D61" s="47"/>
      <c r="E61" s="148" t="s">
        <v>203</v>
      </c>
      <c r="F61" s="151" t="str">
        <f>if(FrameBay&gt;=1,"bay 1","")</f>
        <v/>
      </c>
      <c r="J61" s="128"/>
      <c r="K61" s="128"/>
      <c r="L61" s="128"/>
      <c r="M61" s="153"/>
      <c r="N61" s="153"/>
    </row>
    <row r="62" ht="18.75" customHeight="1">
      <c r="A62" s="56">
        <f t="array" ref="A62">iferror(index(BayBPCost,match(D62,BayChoice,0)),0)</f>
        <v>0</v>
      </c>
      <c r="B62" s="57">
        <f t="array" ref="B62">iferror(index(BayPCUCost,match(D62,BayChoice,0)),0)</f>
        <v>0</v>
      </c>
      <c r="C62" s="57">
        <f t="array" ref="C62">iferror(index(BayUsed,match(D62,BayChoice,0)),0)</f>
        <v>0</v>
      </c>
      <c r="D62" s="47"/>
      <c r="E62" s="148" t="s">
        <v>203</v>
      </c>
      <c r="F62" s="151" t="str">
        <f>if(FrameBay&gt;=2,"bay 2","")</f>
        <v/>
      </c>
      <c r="J62" s="128"/>
      <c r="K62" s="128"/>
      <c r="L62" s="128"/>
      <c r="M62" s="153"/>
      <c r="N62" s="153"/>
    </row>
    <row r="63" ht="18.75" customHeight="1">
      <c r="A63" s="56">
        <f t="array" ref="A63">iferror(index(BayBPCost,match(D63,BayChoice,0)),0)</f>
        <v>0</v>
      </c>
      <c r="B63" s="57">
        <f t="array" ref="B63">iferror(index(BayPCUCost,match(D63,BayChoice,0)),0)</f>
        <v>0</v>
      </c>
      <c r="C63" s="57">
        <f t="array" ref="C63">iferror(index(BayUsed,match(D63,BayChoice,0)),0)</f>
        <v>0</v>
      </c>
      <c r="D63" s="47"/>
      <c r="E63" s="148" t="s">
        <v>203</v>
      </c>
      <c r="F63" s="151" t="str">
        <f>if(FrameBay&gt;=3,"bay 3","")</f>
        <v/>
      </c>
      <c r="J63" s="128"/>
      <c r="K63" s="128"/>
      <c r="L63" s="128"/>
      <c r="M63" s="153"/>
      <c r="N63" s="153"/>
    </row>
    <row r="64" ht="18.75" customHeight="1">
      <c r="A64" s="56">
        <f t="array" ref="A64">iferror(index(BayBPCost,match(D64,BayChoice,0)),0)</f>
        <v>0</v>
      </c>
      <c r="B64" s="57">
        <f t="array" ref="B64">iferror(index(BayPCUCost,match(D64,BayChoice,0)),0)</f>
        <v>0</v>
      </c>
      <c r="C64" s="57">
        <f t="array" ref="C64">iferror(index(BayUsed,match(D64,BayChoice,0)),0)</f>
        <v>0</v>
      </c>
      <c r="D64" s="47"/>
      <c r="E64" s="148" t="s">
        <v>203</v>
      </c>
      <c r="F64" s="151" t="str">
        <f>if(FrameBay&gt;=4,"bay 4","")</f>
        <v/>
      </c>
      <c r="J64" s="128"/>
      <c r="K64" s="128"/>
      <c r="L64" s="128"/>
      <c r="M64" s="153"/>
      <c r="N64" s="153"/>
    </row>
    <row r="65" ht="18.75" customHeight="1">
      <c r="A65" s="56">
        <f t="array" ref="A65">iferror(index(BayBPCost,match(D65,BayChoice,0)),0)</f>
        <v>0</v>
      </c>
      <c r="B65" s="57">
        <f t="array" ref="B65">iferror(index(BayPCUCost,match(D65,BayChoice,0)),0)</f>
        <v>0</v>
      </c>
      <c r="C65" s="57">
        <f t="array" ref="C65">iferror(index(BayUsed,match(D65,BayChoice,0)),0)</f>
        <v>0</v>
      </c>
      <c r="D65" s="47"/>
      <c r="E65" s="148" t="s">
        <v>203</v>
      </c>
      <c r="F65" s="151" t="str">
        <f>if(FrameBay&gt;=5,"bay 5","")</f>
        <v/>
      </c>
      <c r="J65" s="128"/>
      <c r="K65" s="128"/>
      <c r="L65" s="128"/>
      <c r="M65" s="153"/>
      <c r="N65" s="153"/>
    </row>
    <row r="66" ht="18.75" customHeight="1">
      <c r="A66" s="56">
        <f t="array" ref="A66">iferror(index(BayBPCost,match(D66,BayChoice,0)),0)</f>
        <v>0</v>
      </c>
      <c r="B66" s="57">
        <f t="array" ref="B66">iferror(index(BayPCUCost,match(D66,BayChoice,0)),0)</f>
        <v>0</v>
      </c>
      <c r="C66" s="57">
        <f t="array" ref="C66">iferror(index(BayUsed,match(D66,BayChoice,0)),0)</f>
        <v>0</v>
      </c>
      <c r="D66" s="47"/>
      <c r="E66" s="148" t="s">
        <v>203</v>
      </c>
      <c r="F66" s="151" t="str">
        <f>if(FrameBay&gt;=6,"bay 6","")</f>
        <v/>
      </c>
      <c r="J66" s="128"/>
      <c r="K66" s="128"/>
      <c r="L66" s="128"/>
      <c r="M66" s="153"/>
      <c r="N66" s="153"/>
    </row>
    <row r="67" ht="18.75" customHeight="1">
      <c r="A67" s="56">
        <f t="array" ref="A67">iferror(index(BayBPCost,match(D67,BayChoice,0)),0)</f>
        <v>0</v>
      </c>
      <c r="B67" s="57">
        <f t="array" ref="B67">iferror(index(BayPCUCost,match(D67,BayChoice,0)),0)</f>
        <v>0</v>
      </c>
      <c r="C67" s="57">
        <f t="array" ref="C67">iferror(index(BayUsed,match(D67,BayChoice,0)),0)</f>
        <v>0</v>
      </c>
      <c r="D67" s="47"/>
      <c r="E67" s="148" t="s">
        <v>203</v>
      </c>
      <c r="F67" s="151" t="str">
        <f>if(FrameBay&gt;=7,"bay 7","")</f>
        <v/>
      </c>
      <c r="J67" s="128"/>
      <c r="K67" s="128"/>
      <c r="L67" s="128"/>
      <c r="M67" s="153"/>
      <c r="N67" s="153"/>
    </row>
    <row r="68" ht="18.75" customHeight="1">
      <c r="A68" s="56">
        <f t="array" ref="A68">iferror(index(BayBPCost,match(D68,BayChoice,0)),0)</f>
        <v>0</v>
      </c>
      <c r="B68" s="57">
        <f t="array" ref="B68">iferror(index(BayPCUCost,match(D68,BayChoice,0)),0)</f>
        <v>0</v>
      </c>
      <c r="C68" s="57">
        <f t="array" ref="C68">iferror(index(BayUsed,match(D68,BayChoice,0)),0)</f>
        <v>0</v>
      </c>
      <c r="D68" s="47"/>
      <c r="E68" s="148" t="s">
        <v>203</v>
      </c>
      <c r="F68" s="151" t="str">
        <f>if(FrameBay&gt;=8,"bay 8","")</f>
        <v/>
      </c>
      <c r="J68" s="128"/>
      <c r="K68" s="128"/>
      <c r="L68" s="128"/>
      <c r="M68" s="153"/>
      <c r="N68" s="153"/>
    </row>
    <row r="69" ht="18.75" customHeight="1">
      <c r="A69" s="56">
        <f t="array" ref="A69">iferror(index(BayBPCost,match(D69,BayChoice,0)),0)</f>
        <v>0</v>
      </c>
      <c r="B69" s="57">
        <f t="array" ref="B69">iferror(index(BayPCUCost,match(D69,BayChoice,0)),0)</f>
        <v>0</v>
      </c>
      <c r="C69" s="57">
        <f t="array" ref="C69">iferror(index(BayUsed,match(D69,BayChoice,0)),0)</f>
        <v>0</v>
      </c>
      <c r="D69" s="47"/>
      <c r="E69" s="148" t="s">
        <v>203</v>
      </c>
      <c r="F69" s="151" t="str">
        <f>if(FrameBay&gt;=9,"bay 9","")</f>
        <v/>
      </c>
      <c r="J69" s="128"/>
      <c r="K69" s="128"/>
      <c r="L69" s="128"/>
      <c r="M69" s="153"/>
      <c r="N69" s="153"/>
    </row>
    <row r="70" ht="18.75" customHeight="1">
      <c r="A70" s="56">
        <f t="array" ref="A70">iferror(index(BayBPCost,match(D70,BayChoice,0)),0)</f>
        <v>0</v>
      </c>
      <c r="B70" s="57">
        <f t="array" ref="B70">iferror(index(BayPCUCost,match(D70,BayChoice,0)),0)</f>
        <v>0</v>
      </c>
      <c r="C70" s="57">
        <f t="array" ref="C70">iferror(index(BayUsed,match(D70,BayChoice,0)),0)</f>
        <v>0</v>
      </c>
      <c r="D70" s="47"/>
      <c r="E70" s="148" t="s">
        <v>203</v>
      </c>
      <c r="F70" s="151" t="str">
        <f>if(FrameBay&gt;=10,"bay 10","")</f>
        <v/>
      </c>
      <c r="J70" s="128"/>
      <c r="K70" s="128"/>
      <c r="L70" s="128"/>
      <c r="M70" s="153"/>
      <c r="N70" s="153"/>
    </row>
    <row r="71" ht="18.75" customHeight="1">
      <c r="A71" s="56">
        <f t="array" ref="A71">iferror(index(BayBPCost,match(D71,BayChoice,0)),0)</f>
        <v>0</v>
      </c>
      <c r="B71" s="57">
        <f t="array" ref="B71">iferror(index(BayPCUCost,match(D71,BayChoice,0)),0)</f>
        <v>0</v>
      </c>
      <c r="C71" s="57">
        <f t="array" ref="C71">iferror(index(BayUsed,match(D71,BayChoice,0)),0)</f>
        <v>0</v>
      </c>
      <c r="D71" s="47"/>
      <c r="E71" s="148" t="s">
        <v>203</v>
      </c>
      <c r="F71" s="151" t="str">
        <f>if(FrameBay&gt;=11,"bay 11","")</f>
        <v/>
      </c>
      <c r="J71" s="128"/>
      <c r="K71" s="128"/>
      <c r="L71" s="128"/>
      <c r="M71" s="153"/>
      <c r="N71" s="153"/>
    </row>
    <row r="72" ht="18.75" customHeight="1">
      <c r="A72" s="56">
        <f t="array" ref="A72">iferror(index(BayBPCost,match(D72,BayChoice,0)),0)</f>
        <v>0</v>
      </c>
      <c r="B72" s="57">
        <f t="array" ref="B72">iferror(index(BayPCUCost,match(D72,BayChoice,0)),0)</f>
        <v>0</v>
      </c>
      <c r="C72" s="57">
        <f t="array" ref="C72">iferror(index(BayUsed,match(D72,BayChoice,0)),0)</f>
        <v>0</v>
      </c>
      <c r="D72" s="47"/>
      <c r="E72" s="148" t="s">
        <v>203</v>
      </c>
      <c r="F72" s="151" t="str">
        <f>if(FrameBay&gt;=12,"bay 12","")</f>
        <v/>
      </c>
      <c r="J72" s="128"/>
      <c r="K72" s="128"/>
      <c r="L72" s="128"/>
      <c r="M72" s="153"/>
      <c r="N72" s="153"/>
    </row>
    <row r="73" ht="18.75" customHeight="1">
      <c r="A73" s="56">
        <f t="array" ref="A73">iferror(index(BayBPCost,match(D73,BayChoice,0)),0)</f>
        <v>0</v>
      </c>
      <c r="B73" s="57">
        <f t="array" ref="B73">iferror(index(BayPCUCost,match(D73,BayChoice,0)),0)</f>
        <v>0</v>
      </c>
      <c r="C73" s="57">
        <f t="array" ref="C73">iferror(index(BayUsed,match(D73,BayChoice,0)),0)</f>
        <v>0</v>
      </c>
      <c r="D73" s="47"/>
      <c r="E73" s="148" t="s">
        <v>203</v>
      </c>
      <c r="F73" s="151" t="str">
        <f>if(FrameBay&gt;=13,"bay 13","")</f>
        <v/>
      </c>
      <c r="J73" s="128"/>
      <c r="K73" s="128"/>
      <c r="L73" s="128"/>
      <c r="M73" s="153"/>
      <c r="N73" s="153"/>
    </row>
    <row r="74" ht="18.75" customHeight="1">
      <c r="A74" s="56">
        <f t="array" ref="A74">iferror(index(BayBPCost,match(D74,BayChoice,0)),0)</f>
        <v>0</v>
      </c>
      <c r="B74" s="57">
        <f t="array" ref="B74">iferror(index(BayPCUCost,match(D74,BayChoice,0)),0)</f>
        <v>0</v>
      </c>
      <c r="C74" s="57">
        <f t="array" ref="C74">iferror(index(BayUsed,match(D74,BayChoice,0)),0)</f>
        <v>0</v>
      </c>
      <c r="D74" s="47"/>
      <c r="E74" s="148" t="s">
        <v>203</v>
      </c>
      <c r="F74" s="151" t="str">
        <f>if(FrameBay&gt;=14,"bay 14","")</f>
        <v/>
      </c>
      <c r="J74" s="128"/>
      <c r="K74" s="128"/>
      <c r="L74" s="128"/>
      <c r="M74" s="153"/>
      <c r="N74" s="153"/>
    </row>
    <row r="75" ht="18.75" customHeight="1">
      <c r="A75" s="56">
        <f t="array" ref="A75">iferror(index(BayBPCost,match(D75,BayChoice,0)),0)</f>
        <v>0</v>
      </c>
      <c r="B75" s="57">
        <f t="array" ref="B75">iferror(index(BayPCUCost,match(D75,BayChoice,0)),0)</f>
        <v>0</v>
      </c>
      <c r="C75" s="57">
        <f t="array" ref="C75">iferror(index(BayUsed,match(D75,BayChoice,0)),0)</f>
        <v>0</v>
      </c>
      <c r="D75" s="47"/>
      <c r="E75" s="148" t="s">
        <v>203</v>
      </c>
      <c r="F75" s="151" t="str">
        <f>if(FrameBay&gt;=15,"bay 15","")</f>
        <v/>
      </c>
      <c r="J75" s="128"/>
      <c r="K75" s="128"/>
      <c r="L75" s="128"/>
      <c r="M75" s="153"/>
      <c r="N75" s="153"/>
    </row>
    <row r="76" ht="18.75" customHeight="1">
      <c r="A76" s="56">
        <f t="array" ref="A76">iferror(index(BayBPCost,match(D76,BayChoice,0)),0)</f>
        <v>0</v>
      </c>
      <c r="B76" s="57">
        <f t="array" ref="B76">iferror(index(BayPCUCost,match(D76,BayChoice,0)),0)</f>
        <v>0</v>
      </c>
      <c r="C76" s="57">
        <f t="array" ref="C76">iferror(index(BayUsed,match(D76,BayChoice,0)),0)</f>
        <v>0</v>
      </c>
      <c r="D76" s="47"/>
      <c r="E76" s="148" t="s">
        <v>203</v>
      </c>
      <c r="F76" s="151" t="str">
        <f>if(FrameBay&gt;=16,"bay 16","")</f>
        <v/>
      </c>
      <c r="J76" s="128"/>
      <c r="K76" s="128"/>
      <c r="L76" s="128"/>
      <c r="M76" s="153"/>
      <c r="N76" s="153"/>
    </row>
    <row r="77" ht="18.75" customHeight="1">
      <c r="A77" s="56">
        <f t="array" ref="A77">iferror(index(BayBPCost,match(D77,BayChoice,0)),0)</f>
        <v>0</v>
      </c>
      <c r="B77" s="57">
        <f t="array" ref="B77">iferror(index(BayPCUCost,match(D77,BayChoice,0)),0)</f>
        <v>0</v>
      </c>
      <c r="C77" s="57">
        <f t="array" ref="C77">iferror(index(BayUsed,match(D77,BayChoice,0)),0)</f>
        <v>0</v>
      </c>
      <c r="D77" s="47"/>
      <c r="E77" s="148" t="s">
        <v>203</v>
      </c>
      <c r="F77" s="151" t="str">
        <f>if(FrameBay&gt;=17,"bay 17","")</f>
        <v/>
      </c>
      <c r="J77" s="128"/>
      <c r="K77" s="128"/>
      <c r="L77" s="128"/>
      <c r="M77" s="153"/>
      <c r="N77" s="153"/>
    </row>
    <row r="78" ht="18.75" customHeight="1">
      <c r="A78" s="56">
        <f t="array" ref="A78">iferror(index(BayBPCost,match(D78,BayChoice,0)),0)</f>
        <v>0</v>
      </c>
      <c r="B78" s="57">
        <f t="array" ref="B78">iferror(index(BayPCUCost,match(D78,BayChoice,0)),0)</f>
        <v>0</v>
      </c>
      <c r="C78" s="57">
        <f t="array" ref="C78">iferror(index(BayUsed,match(D78,BayChoice,0)),0)</f>
        <v>0</v>
      </c>
      <c r="D78" s="47"/>
      <c r="E78" s="148" t="s">
        <v>203</v>
      </c>
      <c r="F78" s="151" t="str">
        <f>if(FrameBay&gt;=18,"bay 18","")</f>
        <v/>
      </c>
      <c r="J78" s="128"/>
      <c r="K78" s="128"/>
      <c r="L78" s="128"/>
      <c r="M78" s="153"/>
      <c r="N78" s="153"/>
    </row>
    <row r="79" ht="18.75" customHeight="1">
      <c r="A79" s="56">
        <f t="array" ref="A79">iferror(index(BayBPCost,match(D79,BayChoice,0)),0)</f>
        <v>0</v>
      </c>
      <c r="B79" s="57">
        <f t="array" ref="B79">iferror(index(BayPCUCost,match(D79,BayChoice,0)),0)</f>
        <v>0</v>
      </c>
      <c r="C79" s="57">
        <f t="array" ref="C79">iferror(index(BayUsed,match(D79,BayChoice,0)),0)</f>
        <v>0</v>
      </c>
      <c r="D79" s="47"/>
      <c r="E79" s="148" t="s">
        <v>203</v>
      </c>
      <c r="F79" s="151" t="str">
        <f>if(FrameBay&gt;=19,"bay 19","")</f>
        <v/>
      </c>
      <c r="J79" s="128"/>
      <c r="K79" s="128"/>
      <c r="L79" s="128"/>
      <c r="M79" s="153"/>
      <c r="N79" s="153"/>
    </row>
    <row r="80" ht="18.75" customHeight="1">
      <c r="A80" s="56">
        <f t="array" ref="A80">iferror(index(BayBPCost,match(D80,BayChoice,0)),0)</f>
        <v>0</v>
      </c>
      <c r="B80" s="57">
        <f t="array" ref="B80">iferror(index(BayPCUCost,match(D80,BayChoice,0)),0)</f>
        <v>0</v>
      </c>
      <c r="C80" s="57">
        <f t="array" ref="C80">iferror(index(BayUsed,match(D80,BayChoice,0)),0)</f>
        <v>0</v>
      </c>
      <c r="D80" s="47"/>
      <c r="E80" s="148" t="s">
        <v>203</v>
      </c>
      <c r="F80" s="151" t="str">
        <f>if(FrameBay&gt;=20,"bay 20","")</f>
        <v/>
      </c>
      <c r="J80" s="128"/>
      <c r="K80" s="128"/>
      <c r="L80" s="128"/>
      <c r="M80" s="153"/>
      <c r="N80" s="153"/>
    </row>
    <row r="81" ht="18.75" customHeight="1">
      <c r="A81" s="206"/>
      <c r="B81" s="206"/>
      <c r="C81" s="206"/>
      <c r="D81" s="206"/>
      <c r="E81" s="40" t="s">
        <v>223</v>
      </c>
      <c r="J81" s="208" t="s">
        <v>224</v>
      </c>
      <c r="K81" s="208" t="s">
        <v>225</v>
      </c>
      <c r="L81" s="209" t="s">
        <v>226</v>
      </c>
      <c r="M81" s="209" t="s">
        <v>227</v>
      </c>
      <c r="N81" s="209" t="s">
        <v>228</v>
      </c>
    </row>
    <row r="82" ht="18.75" customHeight="1">
      <c r="E82" s="211"/>
      <c r="F82" s="212" t="str">
        <f t="array" ref="F82:F106">transpose(upgradeSlots)</f>
        <v>Weapons (forward)</v>
      </c>
      <c r="G82" s="212" t="s">
        <v>229</v>
      </c>
      <c r="H82" s="214" t="s">
        <v>230</v>
      </c>
      <c r="I82" s="215" t="s">
        <v>231</v>
      </c>
      <c r="J82" s="216"/>
      <c r="K82" s="217"/>
      <c r="L82" s="219"/>
      <c r="M82" s="219"/>
      <c r="N82" s="219"/>
    </row>
    <row r="83" ht="18.75" customHeight="1">
      <c r="A83" s="56">
        <f t="array" ref="A83">ifERROR(index(WeaponBPCost,match(D83,WeaponAll,0)),0)+J83+K83</f>
        <v>0</v>
      </c>
      <c r="B83" s="57">
        <f t="array" ref="B83">ifERROR(index(WeaponPCUCost,match(D83,WeaponAll,0)),0)</f>
        <v>0</v>
      </c>
      <c r="C83" s="57" t="s">
        <v>57</v>
      </c>
      <c r="D83" s="47"/>
      <c r="E83" s="222" t="s">
        <v>203</v>
      </c>
      <c r="F83" s="223"/>
      <c r="G83" s="223"/>
      <c r="H83" s="224"/>
      <c r="I83" s="219" t="str">
        <f t="array" ref="I83">if(AND(D83=D85,D84=D86,H86&lt;&gt;""),"",if(H83&lt;&gt;"","",if(H84&lt;&gt;"",iferror(index(LinkNum,match(D83,WeaponAll,0)))*2&amp;iferror(index(LinkDice,match(D83,WeaponAll,0)))&amp;" (linked)",iferror(index(WeaponDamage,match(D83,WeaponAll,0)),""))))</f>
        <v/>
      </c>
      <c r="J83" s="223" t="str">
        <f t="array" ref="J83:J106">transpose(upgradeMountCost)</f>
        <v/>
      </c>
      <c r="K83" s="219"/>
      <c r="L83" s="219"/>
      <c r="M83" s="225"/>
      <c r="N83" s="226" t="str">
        <f>if(OR(H83&lt;&gt;"",and(D83=D85,D84=D86,D86&lt;&gt;"",D84&lt;&gt;D85)),"",if(H84&lt;&gt;"","linked "&amp;D83&amp;"s",D83))</f>
        <v/>
      </c>
    </row>
    <row r="84" ht="18.75" customHeight="1">
      <c r="A84" s="56">
        <f t="array" ref="A84">ifERROR(index(WeaponBPCost,match(D84,WeaponAll,0)),0)+J84+K84</f>
        <v>0</v>
      </c>
      <c r="B84" s="57">
        <f t="array" ref="B84">ifERROR(index(WeaponPCUCost,match(D84,WeaponAll,0)),0)</f>
        <v>0</v>
      </c>
      <c r="C84" s="57" t="s">
        <v>57</v>
      </c>
      <c r="D84" s="47"/>
      <c r="E84" s="222" t="s">
        <v>203</v>
      </c>
      <c r="F84" s="223"/>
      <c r="G84" s="223"/>
      <c r="H84" s="227"/>
      <c r="I84" s="219" t="str">
        <f t="array" ref="I84">if(H84&lt;&gt;"","",if(H85&lt;&gt;"",iferror(index(LinkNum,match(D84,WeaponAll,0)))*2&amp;iferror(index(LinkDice,match(D84,WeaponAll,0)))&amp;" (linked)",iferror(index(WeaponDamage,match(D84,WeaponAll,0)),"")))</f>
        <v/>
      </c>
      <c r="J84" s="223" t="s">
        <v>177</v>
      </c>
      <c r="K84" s="219">
        <f t="array" ref="K84">IF(H84:H85&lt;&gt;"",rounddown(ifERROR(index(WeaponBPCost,match(D84,WeaponAll,0)))/2),0)</f>
        <v>0</v>
      </c>
      <c r="L84" s="219" t="str">
        <f>if(AND(D84&lt;&gt;"",D83=D84,H85=""),"link weapons","")</f>
        <v/>
      </c>
      <c r="M84" s="225"/>
      <c r="N84" s="226" t="str">
        <f>if(H84&lt;&gt;"","",if(H85&lt;&gt;"","linked "&amp;D84&amp;"s",D84))</f>
        <v/>
      </c>
    </row>
    <row r="85" ht="18.75" customHeight="1">
      <c r="A85" s="56">
        <f t="array" ref="A85">ifERROR(index(WeaponBPCost,match(D85,WeaponAll,0)),0)+J85+K85</f>
        <v>0</v>
      </c>
      <c r="B85" s="57">
        <f t="array" ref="B85">ifERROR(index(WeaponPCUCost,match(D85,WeaponAll,0)),0)</f>
        <v>0</v>
      </c>
      <c r="C85" s="57" t="s">
        <v>57</v>
      </c>
      <c r="D85" s="47"/>
      <c r="E85" s="222" t="s">
        <v>203</v>
      </c>
      <c r="F85" s="223"/>
      <c r="G85" s="223"/>
      <c r="H85" s="227"/>
      <c r="I85" s="219" t="str">
        <f t="array" ref="I85">if(H85&lt;&gt;"","",if(H86&lt;&gt;"",iferror(index(LinkNum,match(D85,WeaponAll,0)))*2&amp;iferror(index(LinkDice,match(D85,WeaponAll,0)))&amp;" (linked)",iferror(index(WeaponDamage,match(D85,WeaponAll,0)),"")))</f>
        <v/>
      </c>
      <c r="J85" s="223" t="s">
        <v>177</v>
      </c>
      <c r="K85" s="219">
        <f t="array" ref="K85">IF(H85:H86&lt;&gt;"",rounddown(ifERROR(index(WeaponBPCost,match(D85,WeaponAll,0)))/2),0)</f>
        <v>0</v>
      </c>
      <c r="L85" s="219" t="str">
        <f>if(AND(D85&lt;&gt;"",D84=D85,H84="",H86=""),"link weapons","")</f>
        <v/>
      </c>
      <c r="M85" s="225"/>
      <c r="N85" s="226" t="str">
        <f>if(AND(M86,D86&lt;&gt;""),"linked "&amp;left(D85,len(D85)-11),if(H85&lt;&gt;"","",if(H86&lt;&gt;"","linked "&amp;D85&amp;"s",D85)))</f>
        <v/>
      </c>
    </row>
    <row r="86" ht="18.75" customHeight="1">
      <c r="A86" s="56">
        <f t="array" ref="A86">ifERROR(index(WeaponBPCost,match(D86,WeaponAll,0)),0)+J86+K86</f>
        <v>0</v>
      </c>
      <c r="B86" s="57">
        <f t="array" ref="B86">ifERROR(index(WeaponPCUCost,match(D86,WeaponAll,0)),0)</f>
        <v>0</v>
      </c>
      <c r="C86" s="57" t="s">
        <v>57</v>
      </c>
      <c r="D86" s="47"/>
      <c r="E86" s="222" t="s">
        <v>203</v>
      </c>
      <c r="F86" s="223"/>
      <c r="G86" s="223"/>
      <c r="H86" s="227"/>
      <c r="I86" s="219" t="str">
        <f t="array" ref="I86">if(H86&lt;&gt;"","",iferror(index(WeaponDamage,match(D86,WeaponAll,0)),""))</f>
        <v/>
      </c>
      <c r="J86" s="223" t="s">
        <v>177</v>
      </c>
      <c r="K86" s="219">
        <f t="array" ref="K86">IF(H86:H87&lt;&gt;"",rounddown(ifERROR(index(WeaponBPCost,match(D86,WeaponAll,0)))/2),0)</f>
        <v>0</v>
      </c>
      <c r="L86" s="219" t="str">
        <f>if(or(AND(D86&lt;&gt;"",D85=D86,H85=""),M86),"link weapons","")</f>
        <v/>
      </c>
      <c r="M86" s="225" t="b">
        <f>AND(NOT(D85=D84),D83&lt;&gt;"",D84&lt;&gt;"",D85&lt;&gt;"",D86&lt;&gt;"",D83=D85,D84=D86,left(right(D86,9),4="slot"))</f>
        <v>0</v>
      </c>
      <c r="N86" s="226" t="str">
        <f>if(H86&lt;&gt;"","",D86)</f>
        <v/>
      </c>
    </row>
    <row r="87" ht="18.75" customHeight="1">
      <c r="A87" s="206"/>
      <c r="B87" s="206"/>
      <c r="C87" s="206"/>
      <c r="D87" s="206"/>
      <c r="E87" s="211"/>
      <c r="F87" s="212" t="s">
        <v>293</v>
      </c>
      <c r="G87" s="212" t="s">
        <v>229</v>
      </c>
      <c r="H87" s="214" t="s">
        <v>230</v>
      </c>
      <c r="I87" s="215" t="s">
        <v>231</v>
      </c>
      <c r="J87" s="216" t="s">
        <v>177</v>
      </c>
      <c r="K87" s="217"/>
      <c r="L87" s="219"/>
      <c r="M87" s="219"/>
      <c r="N87" s="219"/>
    </row>
    <row r="88" ht="18.75" customHeight="1">
      <c r="A88" s="56">
        <f t="array" ref="A88">ifERROR(index(WeaponBPCost,match(D88,WeaponAll,0)),0)+J88+K88</f>
        <v>0</v>
      </c>
      <c r="B88" s="57">
        <f t="array" ref="B88">ifERROR(index(WeaponPCUCost,match(D88,WeaponAll,0)),0)</f>
        <v>0</v>
      </c>
      <c r="C88" s="57" t="s">
        <v>57</v>
      </c>
      <c r="D88" s="47"/>
      <c r="E88" s="222" t="s">
        <v>203</v>
      </c>
      <c r="F88" s="223"/>
      <c r="G88" s="223"/>
      <c r="H88" s="224"/>
      <c r="I88" s="219" t="str">
        <f t="array" ref="I88">if(AND(M91,H91&lt;&gt;""),"",if(H88&lt;&gt;"","",if(H89&lt;&gt;"",iferror(index(LinkNum,match(D88,WeaponAll,0)))*2&amp;iferror(index(LinkDice,match(D88,WeaponAll,0)))&amp;" (linked)",iferror(index(WeaponDamage,match(D88,WeaponAll,0)),""))))</f>
        <v/>
      </c>
      <c r="J88" s="223" t="s">
        <v>177</v>
      </c>
      <c r="K88" s="219"/>
      <c r="L88" s="219"/>
      <c r="M88" s="225"/>
      <c r="N88" s="226" t="str">
        <f>if(OR(H88&lt;&gt;"",and(D88=D90,D89=D91,D91&lt;&gt;"",D89&lt;&gt;D90)),"",if(H89&lt;&gt;"","linked "&amp;D88&amp;"s",D88))</f>
        <v/>
      </c>
    </row>
    <row r="89" ht="18.75" customHeight="1">
      <c r="A89" s="56">
        <f t="array" ref="A89">ifERROR(index(WeaponBPCost,match(D89,WeaponAll,0)),0)+J89+K89</f>
        <v>0</v>
      </c>
      <c r="B89" s="57">
        <f t="array" ref="B89">ifERROR(index(WeaponPCUCost,match(D89,WeaponAll,0)),0)</f>
        <v>0</v>
      </c>
      <c r="C89" s="57" t="s">
        <v>57</v>
      </c>
      <c r="D89" s="47"/>
      <c r="E89" s="222" t="s">
        <v>203</v>
      </c>
      <c r="F89" s="223"/>
      <c r="G89" s="223"/>
      <c r="H89" s="227"/>
      <c r="I89" s="219" t="str">
        <f t="array" ref="I89">if(H89&lt;&gt;"","",if(H90&lt;&gt;"",iferror(index(LinkNum,match(D89,WeaponAll,0)))*2&amp;iferror(index(LinkDice,match(D89,WeaponAll,0)))&amp;" (linked)",iferror(index(WeaponDamage,match(D89,WeaponAll,0)),"")))</f>
        <v/>
      </c>
      <c r="J89" s="223" t="s">
        <v>177</v>
      </c>
      <c r="K89" s="219">
        <f t="array" ref="K89">IF(H89:H90&lt;&gt;"",rounddown(ifERROR(index(WeaponBPCost,match(D89,WeaponAll,0)))/2),0)</f>
        <v>0</v>
      </c>
      <c r="L89" s="219" t="str">
        <f>if(AND(D89&lt;&gt;"",D88=D89,H90=""),"link weapons","")</f>
        <v/>
      </c>
      <c r="M89" s="225"/>
      <c r="N89" s="226" t="str">
        <f>if(H89&lt;&gt;"","",if(H90&lt;&gt;"","linked "&amp;D89&amp;"s",D89))</f>
        <v/>
      </c>
    </row>
    <row r="90" ht="18.75" customHeight="1">
      <c r="A90" s="56">
        <f t="array" ref="A90">ifERROR(index(WeaponBPCost,match(D90,WeaponAll,0)),0)+J90+K90</f>
        <v>0</v>
      </c>
      <c r="B90" s="57">
        <f t="array" ref="B90">ifERROR(index(WeaponPCUCost,match(D90,WeaponAll,0)),0)</f>
        <v>0</v>
      </c>
      <c r="C90" s="57" t="s">
        <v>57</v>
      </c>
      <c r="D90" s="47"/>
      <c r="E90" s="222" t="s">
        <v>203</v>
      </c>
      <c r="F90" s="64"/>
      <c r="G90" s="223"/>
      <c r="H90" s="227"/>
      <c r="I90" s="219" t="str">
        <f t="array" ref="I90">if(H90&lt;&gt;"","",if(H91&lt;&gt;"",iferror(index(LinkNum,match(D90,WeaponAll,0)))*2&amp;iferror(index(LinkDice,match(D90,WeaponAll,0)))&amp;" (linked)",iferror(index(WeaponDamage,match(D90,WeaponAll,0)),"")))</f>
        <v/>
      </c>
      <c r="J90" s="223" t="s">
        <v>177</v>
      </c>
      <c r="K90" s="219">
        <f t="array" ref="K90">IF(H90:H91&lt;&gt;"",rounddown(ifERROR(index(WeaponBPCost,match(D90,WeaponAll,0)))/2),0)</f>
        <v>0</v>
      </c>
      <c r="L90" s="219" t="str">
        <f>if(AND(D90&lt;&gt;"",D89=D90,H89="",H91=""),"link weapons","")</f>
        <v/>
      </c>
      <c r="M90" s="225"/>
      <c r="N90" s="226" t="str">
        <f>if(AND(M91,D91&lt;&gt;""),"linked "&amp;left(D90,len(D90)-11),if(H90&lt;&gt;"","",if(H91&lt;&gt;"","linked "&amp;D90&amp;"s",D90)))</f>
        <v/>
      </c>
    </row>
    <row r="91" ht="18.75" customHeight="1">
      <c r="A91" s="56">
        <f t="array" ref="A91">ifERROR(index(WeaponBPCost,match(D91,WeaponAll,0)),0)+J91+K91</f>
        <v>0</v>
      </c>
      <c r="B91" s="57">
        <f t="array" ref="B91">ifERROR(index(WeaponPCUCost,match(D91,WeaponAll,0)),0)</f>
        <v>0</v>
      </c>
      <c r="C91" s="57" t="s">
        <v>57</v>
      </c>
      <c r="D91" s="47"/>
      <c r="E91" s="222" t="s">
        <v>203</v>
      </c>
      <c r="F91" s="223"/>
      <c r="G91" s="223"/>
      <c r="H91" s="227"/>
      <c r="I91" s="219" t="str">
        <f t="array" ref="I91">if(H91&lt;&gt;"","",iferror(index(WeaponDamage,match(D91,WeaponAll,0)),""))</f>
        <v/>
      </c>
      <c r="J91" s="223" t="s">
        <v>177</v>
      </c>
      <c r="K91" s="219">
        <f t="array" ref="K91">IF(H91:H92&lt;&gt;"",rounddown(ifERROR(index(WeaponBPCost,match(D91,WeaponAll,0)))/2),0)</f>
        <v>0</v>
      </c>
      <c r="L91" s="219" t="str">
        <f>if(or(AND(D91&lt;&gt;"",D90=D91,H90=""),M91),"link weapons","")</f>
        <v/>
      </c>
      <c r="M91" s="225" t="b">
        <f>AND(NOT(D90=D89),D88&lt;&gt;"",D89&lt;&gt;"",D90&lt;&gt;"",D91&lt;&gt;"",D88=D90,D89=D91,left(right(D91,9),4="slot"))</f>
        <v>0</v>
      </c>
      <c r="N91" s="226" t="str">
        <f>if(H91&lt;&gt;"","",D91)</f>
        <v/>
      </c>
    </row>
    <row r="92" ht="18.75" customHeight="1">
      <c r="A92" s="206"/>
      <c r="B92" s="206"/>
      <c r="C92" s="206"/>
      <c r="D92" s="206"/>
      <c r="E92" s="211"/>
      <c r="F92" s="212" t="s">
        <v>314</v>
      </c>
      <c r="G92" s="212" t="s">
        <v>229</v>
      </c>
      <c r="H92" s="214" t="s">
        <v>230</v>
      </c>
      <c r="I92" s="215" t="s">
        <v>231</v>
      </c>
      <c r="J92" s="216" t="s">
        <v>177</v>
      </c>
      <c r="K92" s="217"/>
      <c r="L92" s="219"/>
      <c r="M92" s="219"/>
      <c r="N92" s="219"/>
    </row>
    <row r="93" ht="18.75" customHeight="1">
      <c r="A93" s="56">
        <f t="array" ref="A93">ifERROR(index(WeaponBPCost,match(D93,WeaponAll,0)),0)+J93+K93</f>
        <v>0</v>
      </c>
      <c r="B93" s="57">
        <f t="array" ref="B93">ifERROR(index(WeaponPCUCost,match(D93,WeaponAll,0)),0)</f>
        <v>0</v>
      </c>
      <c r="C93" s="57" t="s">
        <v>57</v>
      </c>
      <c r="D93" s="47"/>
      <c r="E93" s="222" t="s">
        <v>203</v>
      </c>
      <c r="F93" s="223"/>
      <c r="G93" s="223"/>
      <c r="H93" s="224"/>
      <c r="I93" s="219" t="str">
        <f t="array" ref="I93">if(AND(M96,H96&lt;&gt;""),"",if(H93&lt;&gt;"","",if(H94&lt;&gt;"",iferror(index(LinkNum,match(D93,WeaponAll,0)))*2&amp;iferror(index(LinkDice,match(D93,WeaponAll,0)))&amp;" (linked)",iferror(index(WeaponDamage,match(D93,WeaponAll,0)),""))))</f>
        <v/>
      </c>
      <c r="J93" s="223" t="s">
        <v>177</v>
      </c>
      <c r="K93" s="219"/>
      <c r="L93" s="219"/>
      <c r="M93" s="225"/>
      <c r="N93" s="226" t="str">
        <f>if(OR(H93&lt;&gt;"",and(D93=D95,D94=D96,D96&lt;&gt;"",D94&lt;&gt;D95)),"",if(H94&lt;&gt;"","linked "&amp;D93&amp;"s",D93))</f>
        <v/>
      </c>
    </row>
    <row r="94" ht="18.75" customHeight="1">
      <c r="A94" s="56">
        <f t="array" ref="A94">ifERROR(index(WeaponBPCost,match(D94,WeaponAll,0)),0)+J94+K94</f>
        <v>0</v>
      </c>
      <c r="B94" s="57">
        <f t="array" ref="B94">ifERROR(index(WeaponPCUCost,match(D94,WeaponAll,0)),0)</f>
        <v>0</v>
      </c>
      <c r="C94" s="57" t="s">
        <v>57</v>
      </c>
      <c r="D94" s="47"/>
      <c r="E94" s="222" t="s">
        <v>203</v>
      </c>
      <c r="F94" s="223"/>
      <c r="G94" s="223"/>
      <c r="H94" s="227"/>
      <c r="I94" s="219" t="str">
        <f t="array" ref="I94">if(H94&lt;&gt;"","",if(H95&lt;&gt;"",iferror(index(LinkNum,match(D94,WeaponAll,0)))*2&amp;iferror(index(LinkDice,match(D94,WeaponAll,0)))&amp;" (linked)",iferror(index(WeaponDamage,match(D94,WeaponAll,0)),"")))</f>
        <v/>
      </c>
      <c r="J94" s="223" t="s">
        <v>177</v>
      </c>
      <c r="K94" s="219">
        <f t="array" ref="K94">IF(H94:H95&lt;&gt;"",rounddown(ifERROR(index(WeaponBPCost,match(D94,WeaponAll,0)))/2),0)</f>
        <v>0</v>
      </c>
      <c r="L94" s="219" t="str">
        <f>if(AND(D94&lt;&gt;"",D93=D94,H95=""),"link weapons","")</f>
        <v/>
      </c>
      <c r="M94" s="225"/>
      <c r="N94" s="226" t="str">
        <f>if(H94&lt;&gt;"","",if(H95&lt;&gt;"","linked "&amp;D94&amp;"s",D94))</f>
        <v/>
      </c>
    </row>
    <row r="95" ht="18.75" customHeight="1">
      <c r="A95" s="56">
        <f t="array" ref="A95">ifERROR(index(WeaponBPCost,match(D95,WeaponAll,0)),0)+J95+K95</f>
        <v>0</v>
      </c>
      <c r="B95" s="57">
        <f t="array" ref="B95">ifERROR(index(WeaponPCUCost,match(D95,WeaponAll,0)),0)</f>
        <v>0</v>
      </c>
      <c r="C95" s="57" t="s">
        <v>57</v>
      </c>
      <c r="D95" s="47"/>
      <c r="E95" s="222" t="s">
        <v>203</v>
      </c>
      <c r="F95" s="223"/>
      <c r="G95" s="223"/>
      <c r="H95" s="227"/>
      <c r="I95" s="219" t="str">
        <f t="array" ref="I95">if(H95&lt;&gt;"","",if(H96&lt;&gt;"",iferror(index(LinkNum,match(D95,WeaponAll,0)))*2&amp;iferror(index(LinkDice,match(D95,WeaponAll,0)))&amp;" (linked)",iferror(index(WeaponDamage,match(D95,WeaponAll,0)),"")))</f>
        <v/>
      </c>
      <c r="J95" s="223" t="s">
        <v>177</v>
      </c>
      <c r="K95" s="219">
        <f t="array" ref="K95">IF(H95:H96&lt;&gt;"",rounddown(ifERROR(index(WeaponBPCost,match(D95,WeaponAll,0)))/2),0)</f>
        <v>0</v>
      </c>
      <c r="L95" s="219" t="str">
        <f>if(AND(D95&lt;&gt;"",D94=D95,H94="",H96=""),"link weapons","")</f>
        <v/>
      </c>
      <c r="M95" s="225"/>
      <c r="N95" s="226" t="str">
        <f>if(AND(M96,D96&lt;&gt;""),"linked "&amp;left(D95,len(D95)-11),if(H95&lt;&gt;"","",if(H96&lt;&gt;"","linked "&amp;D95&amp;"s",D95)))</f>
        <v/>
      </c>
    </row>
    <row r="96" ht="18.75" customHeight="1">
      <c r="A96" s="56">
        <f t="array" ref="A96">ifERROR(index(WeaponBPCost,match(D96,WeaponAll,0)),0)+J96+K96</f>
        <v>0</v>
      </c>
      <c r="B96" s="57">
        <f t="array" ref="B96">ifERROR(index(WeaponPCUCost,match(D96,WeaponAll,0)),0)</f>
        <v>0</v>
      </c>
      <c r="C96" s="57" t="s">
        <v>57</v>
      </c>
      <c r="D96" s="47"/>
      <c r="E96" s="222" t="s">
        <v>203</v>
      </c>
      <c r="F96" s="223"/>
      <c r="G96" s="223"/>
      <c r="H96" s="227"/>
      <c r="I96" s="219" t="str">
        <f t="array" ref="I96">if(H96&lt;&gt;"","",iferror(index(WeaponDamage,match(D96,WeaponAll,0)),""))</f>
        <v/>
      </c>
      <c r="J96" s="223" t="s">
        <v>177</v>
      </c>
      <c r="K96" s="219">
        <f t="array" ref="K96">IF(H96:H97&lt;&gt;"",rounddown(ifERROR(index(WeaponBPCost,match(D96,WeaponAll,0)))/2),0)</f>
        <v>0</v>
      </c>
      <c r="L96" s="219" t="str">
        <f>if(or(AND(D96&lt;&gt;"",D95=D96,H95=""),M96),"link weapons","")</f>
        <v/>
      </c>
      <c r="M96" s="225" t="b">
        <f>AND(NOT(D95=D94),D93&lt;&gt;"",D94&lt;&gt;"",D95&lt;&gt;"",D96&lt;&gt;"",D93=D95,D94=D96,left(right(D96,9),4="slot"))</f>
        <v>0</v>
      </c>
      <c r="N96" s="226" t="str">
        <f>if(H96&lt;&gt;"","",D96)</f>
        <v/>
      </c>
    </row>
    <row r="97" ht="18.75" customHeight="1">
      <c r="A97" s="206"/>
      <c r="B97" s="206"/>
      <c r="C97" s="206"/>
      <c r="D97" s="206"/>
      <c r="E97" s="211"/>
      <c r="F97" s="212" t="s">
        <v>334</v>
      </c>
      <c r="G97" s="212" t="s">
        <v>229</v>
      </c>
      <c r="H97" s="214" t="s">
        <v>230</v>
      </c>
      <c r="I97" s="215" t="s">
        <v>231</v>
      </c>
      <c r="J97" s="216" t="s">
        <v>177</v>
      </c>
      <c r="K97" s="217"/>
      <c r="L97" s="219"/>
      <c r="M97" s="219"/>
      <c r="N97" s="219"/>
    </row>
    <row r="98" ht="18.75" customHeight="1">
      <c r="A98" s="56">
        <f t="array" ref="A98">ifERROR(index(WeaponBPCost,match(D98,WeaponAll,0)),0)+J98+K98</f>
        <v>0</v>
      </c>
      <c r="B98" s="57">
        <f t="array" ref="B98">ifERROR(index(WeaponPCUCost,match(D98,WeaponAll,0)),0)</f>
        <v>0</v>
      </c>
      <c r="C98" s="57" t="s">
        <v>57</v>
      </c>
      <c r="D98" s="47"/>
      <c r="E98" s="222" t="s">
        <v>203</v>
      </c>
      <c r="F98" s="223"/>
      <c r="G98" s="223"/>
      <c r="H98" s="224"/>
      <c r="I98" s="219" t="str">
        <f t="array" ref="I98">if(AND(M101,H101&lt;&gt;""),"",if(H98&lt;&gt;"","",if(H99&lt;&gt;"",iferror(index(LinkNum,match(D98,WeaponAll,0)))*2&amp;iferror(index(LinkDice,match(D98,WeaponAll,0)))&amp;" (linked)",iferror(index(WeaponDamage,match(D98,WeaponAll,0)),""))))</f>
        <v/>
      </c>
      <c r="J98" s="223" t="s">
        <v>177</v>
      </c>
      <c r="K98" s="219"/>
      <c r="L98" s="219"/>
      <c r="M98" s="225"/>
      <c r="N98" s="226" t="str">
        <f>if(OR(H98&lt;&gt;"",and(D98=D100,D99=D101,D101&lt;&gt;"",D99&lt;&gt;D100)),"",if(H99&lt;&gt;"","linked "&amp;D98&amp;"s",D98))</f>
        <v/>
      </c>
    </row>
    <row r="99" ht="18.75" customHeight="1">
      <c r="A99" s="56">
        <f t="array" ref="A99">ifERROR(index(WeaponBPCost,match(D99,WeaponAll,0)),0)+J99+K99</f>
        <v>0</v>
      </c>
      <c r="B99" s="57">
        <f t="array" ref="B99">ifERROR(index(WeaponPCUCost,match(D99,WeaponAll,0)),0)</f>
        <v>0</v>
      </c>
      <c r="C99" s="57" t="s">
        <v>57</v>
      </c>
      <c r="D99" s="47"/>
      <c r="E99" s="222" t="s">
        <v>203</v>
      </c>
      <c r="F99" s="223"/>
      <c r="G99" s="223"/>
      <c r="H99" s="227"/>
      <c r="I99" s="219" t="str">
        <f t="array" ref="I99">if(H99&lt;&gt;"","",if(H100&lt;&gt;"",iferror(index(LinkNum,match(D99,WeaponAll,0)))*2&amp;iferror(index(LinkDice,match(D99,WeaponAll,0)))&amp;" (linked)",iferror(index(WeaponDamage,match(D99,WeaponAll,0)),"")))</f>
        <v/>
      </c>
      <c r="J99" s="223" t="s">
        <v>177</v>
      </c>
      <c r="K99" s="219">
        <f t="array" ref="K99">IF(H99:H100&lt;&gt;"",rounddown(ifERROR(index(WeaponBPCost,match(D99,WeaponAll,0)))/2),0)</f>
        <v>0</v>
      </c>
      <c r="L99" s="219" t="str">
        <f>if(AND(D99&lt;&gt;"",D98=D99,H100=""),"link weapons","")</f>
        <v/>
      </c>
      <c r="M99" s="225"/>
      <c r="N99" s="226" t="str">
        <f>if(H99&lt;&gt;"","",if(H100&lt;&gt;"","linked "&amp;D99&amp;"s",D99))</f>
        <v/>
      </c>
    </row>
    <row r="100" ht="18.75" customHeight="1">
      <c r="A100" s="56">
        <f t="array" ref="A100">ifERROR(index(WeaponBPCost,match(D100,WeaponAll,0)),0)+J100+K100</f>
        <v>0</v>
      </c>
      <c r="B100" s="57">
        <f t="array" ref="B100">ifERROR(index(WeaponPCUCost,match(D100,WeaponAll,0)),0)</f>
        <v>0</v>
      </c>
      <c r="C100" s="57" t="s">
        <v>57</v>
      </c>
      <c r="D100" s="47"/>
      <c r="E100" s="222" t="s">
        <v>203</v>
      </c>
      <c r="F100" s="223"/>
      <c r="G100" s="223"/>
      <c r="H100" s="227"/>
      <c r="I100" s="219" t="str">
        <f t="array" ref="I100">if(H100&lt;&gt;"","",if(H101&lt;&gt;"",iferror(index(LinkNum,match(D100,WeaponAll,0)))*2&amp;iferror(index(LinkDice,match(D100,WeaponAll,0)))&amp;" (linked)",iferror(index(WeaponDamage,match(D100,WeaponAll,0)),"")))</f>
        <v/>
      </c>
      <c r="J100" s="223" t="s">
        <v>177</v>
      </c>
      <c r="K100" s="219">
        <f t="array" ref="K100">IF(H100:H101&lt;&gt;"",rounddown(ifERROR(index(WeaponBPCost,match(D100,WeaponAll,0)))/2),0)</f>
        <v>0</v>
      </c>
      <c r="L100" s="219" t="str">
        <f>if(AND(D100&lt;&gt;"",D99=D100,H99="",H101=""),"link weapons","")</f>
        <v/>
      </c>
      <c r="M100" s="225"/>
      <c r="N100" s="226" t="str">
        <f>if(AND(M101,D101&lt;&gt;""),"linked "&amp;left(D100,len(D100)-11),if(H100&lt;&gt;"","",if(H101&lt;&gt;"","linked "&amp;D100&amp;"s",D100)))</f>
        <v/>
      </c>
    </row>
    <row r="101" ht="18.75" customHeight="1">
      <c r="A101" s="56">
        <f t="array" ref="A101">ifERROR(index(WeaponBPCost,match(D101,WeaponAll,0)),0)+J101+K101</f>
        <v>0</v>
      </c>
      <c r="B101" s="57">
        <f t="array" ref="B101">ifERROR(index(WeaponPCUCost,match(D101,WeaponAll,0)),0)</f>
        <v>0</v>
      </c>
      <c r="C101" s="57" t="s">
        <v>57</v>
      </c>
      <c r="D101" s="47"/>
      <c r="E101" s="222" t="s">
        <v>203</v>
      </c>
      <c r="F101" s="223"/>
      <c r="G101" s="223"/>
      <c r="H101" s="227"/>
      <c r="I101" s="219" t="str">
        <f t="array" ref="I101">if(H101&lt;&gt;"","",iferror(index(WeaponDamage,match(D101,WeaponAll,0)),""))</f>
        <v/>
      </c>
      <c r="J101" s="223" t="s">
        <v>177</v>
      </c>
      <c r="K101" s="219">
        <f t="array" ref="K101">IF(H101:H102&lt;&gt;"",rounddown(ifERROR(index(WeaponBPCost,match(D101,WeaponAll,0)))/2),0)</f>
        <v>0</v>
      </c>
      <c r="L101" s="219" t="str">
        <f>if(or(AND(D101&lt;&gt;"",D100=D101,H100=""),M101),"link weapons","")</f>
        <v/>
      </c>
      <c r="M101" s="225" t="b">
        <f>AND(NOT(D100=D99),D98&lt;&gt;"",D99&lt;&gt;"",D100&lt;&gt;"",D101&lt;&gt;"",D98=D100,D99=D101,left(right(D101,9),4="slot"))</f>
        <v>0</v>
      </c>
      <c r="N101" s="226" t="str">
        <f>if(H101&lt;&gt;"","",D101)</f>
        <v/>
      </c>
    </row>
    <row r="102" ht="18.75" customHeight="1">
      <c r="A102" s="206"/>
      <c r="B102" s="206"/>
      <c r="C102" s="206"/>
      <c r="D102" s="206"/>
      <c r="E102" s="211"/>
      <c r="F102" s="212" t="s">
        <v>383</v>
      </c>
      <c r="G102" s="212" t="s">
        <v>229</v>
      </c>
      <c r="H102" s="214" t="s">
        <v>230</v>
      </c>
      <c r="I102" s="215" t="s">
        <v>231</v>
      </c>
      <c r="J102" s="216" t="s">
        <v>177</v>
      </c>
      <c r="K102" s="217"/>
      <c r="L102" s="219"/>
      <c r="M102" s="219"/>
      <c r="N102" s="219"/>
    </row>
    <row r="103" ht="18.75" customHeight="1">
      <c r="A103" s="56">
        <f t="array" ref="A103">ifERROR(index(WeaponBPCost,match(D103,WeaponAll,0)),0)+J103+K103</f>
        <v>0</v>
      </c>
      <c r="B103" s="57">
        <f t="array" ref="B103">ifERROR(index(WeaponPCUCost,match(D103,WeaponAll,0)),0)</f>
        <v>0</v>
      </c>
      <c r="C103" s="57" t="s">
        <v>57</v>
      </c>
      <c r="D103" s="47"/>
      <c r="E103" s="222" t="s">
        <v>203</v>
      </c>
      <c r="F103" s="223"/>
      <c r="G103" s="223"/>
      <c r="H103" s="248"/>
      <c r="I103" s="219" t="str">
        <f t="array" ref="I103">if(AND(M106,H106&lt;&gt;""),"",if(H103&lt;&gt;"","",if(H104&lt;&gt;"",iferror(index(LinkNum,match(D103,WeaponAll,0)))*2&amp;iferror(index(LinkDice,match(D103,WeaponAll,0)))&amp;" (linked)",iferror(index(WeaponDamage,match(D103,WeaponAll,0)),""))))</f>
        <v/>
      </c>
      <c r="J103" s="223" t="s">
        <v>177</v>
      </c>
      <c r="K103" s="219"/>
      <c r="L103" s="219"/>
      <c r="M103" s="225"/>
      <c r="N103" s="226" t="str">
        <f>if(OR(H103&lt;&gt;"",and(D103=D105,D104=D106,D106&lt;&gt;"",D104&lt;&gt;D105)),"",if(H104&lt;&gt;"","linked "&amp;D103&amp;"s",D103))</f>
        <v/>
      </c>
    </row>
    <row r="104" ht="18.75" customHeight="1">
      <c r="A104" s="56">
        <f t="array" ref="A104">ifERROR(index(WeaponBPCost,match(D104,WeaponAll,0)),0)+J104+K104</f>
        <v>0</v>
      </c>
      <c r="B104" s="57">
        <f t="array" ref="B104">ifERROR(index(WeaponPCUCost,match(D104,WeaponAll,0)),0)</f>
        <v>0</v>
      </c>
      <c r="C104" s="57" t="s">
        <v>57</v>
      </c>
      <c r="D104" s="47"/>
      <c r="E104" s="222" t="s">
        <v>203</v>
      </c>
      <c r="F104" s="223"/>
      <c r="G104" s="223"/>
      <c r="H104" s="249"/>
      <c r="I104" s="219" t="str">
        <f t="array" ref="I104">if(H104&lt;&gt;"","",if(H105&lt;&gt;"",iferror(index(LinkNum,match(D104,WeaponAll,0)))*2&amp;iferror(index(LinkDice,match(D104,WeaponAll,0)))&amp;" (linked)",iferror(index(WeaponDamage,match(D104,WeaponAll,0)),"")))</f>
        <v/>
      </c>
      <c r="J104" s="223" t="s">
        <v>177</v>
      </c>
      <c r="K104" s="219">
        <f t="array" ref="K104">IF(H104:H105&lt;&gt;"",rounddown(ifERROR(index(WeaponBPCost,match(D104,WeaponAll,0)))/2),0)</f>
        <v>0</v>
      </c>
      <c r="L104" s="219" t="str">
        <f>if(AND(D104&lt;&gt;"",D103=D104,H105=""),"link weapons","")</f>
        <v/>
      </c>
      <c r="M104" s="225"/>
      <c r="N104" s="226" t="str">
        <f>if(H104&lt;&gt;"","",if(H105&lt;&gt;"","linked "&amp;D104&amp;"s",D104))</f>
        <v/>
      </c>
    </row>
    <row r="105" ht="18.75" customHeight="1">
      <c r="A105" s="56">
        <f t="array" ref="A105">ifERROR(index(WeaponBPCost,match(D105,WeaponAll,0)),0)+J105+K105</f>
        <v>0</v>
      </c>
      <c r="B105" s="57">
        <f t="array" ref="B105">ifERROR(index(WeaponPCUCost,match(D105,WeaponAll,0)),0)</f>
        <v>0</v>
      </c>
      <c r="C105" s="57" t="s">
        <v>57</v>
      </c>
      <c r="D105" s="47"/>
      <c r="E105" s="222" t="s">
        <v>203</v>
      </c>
      <c r="F105" s="223"/>
      <c r="G105" s="223"/>
      <c r="H105" s="249"/>
      <c r="I105" s="219" t="str">
        <f t="array" ref="I105">if(H105&lt;&gt;"","",if(H106&lt;&gt;"",iferror(index(LinkNum,match(D105,WeaponAll,0)))*2&amp;iferror(index(LinkDice,match(D105,WeaponAll,0)))&amp;" (linked)",iferror(index(WeaponDamage,match(D105,WeaponAll,0)),"")))</f>
        <v/>
      </c>
      <c r="J105" s="223" t="s">
        <v>177</v>
      </c>
      <c r="K105" s="219">
        <f t="array" ref="K105">IF(H105:H106&lt;&gt;"",rounddown(ifERROR(index(WeaponBPCost,match(D105,WeaponAll,0)))/2),0)</f>
        <v>0</v>
      </c>
      <c r="L105" s="219" t="str">
        <f>if(AND(D105&lt;&gt;"",D104=D105,H104="",H106=""),"link weapons","")</f>
        <v/>
      </c>
      <c r="M105" s="225"/>
      <c r="N105" s="226" t="str">
        <f>if(AND(M106,D106&lt;&gt;""),"linked "&amp;left(D105,len(D105)-11),if(H105&lt;&gt;"","",if(H106&lt;&gt;"","linked "&amp;D105&amp;"s",D105)))</f>
        <v/>
      </c>
    </row>
    <row r="106" ht="18.75" customHeight="1">
      <c r="A106" s="56">
        <f t="array" ref="A106">ifERROR(index(WeaponBPCost,match(D106,WeaponAll,0)),0)+J106+K106</f>
        <v>0</v>
      </c>
      <c r="B106" s="57">
        <f t="array" ref="B106">ifERROR(index(WeaponPCUCost,match(D106,WeaponAll,0)),0)</f>
        <v>0</v>
      </c>
      <c r="C106" s="57" t="s">
        <v>57</v>
      </c>
      <c r="D106" s="47"/>
      <c r="E106" s="222" t="s">
        <v>203</v>
      </c>
      <c r="F106" s="223"/>
      <c r="G106" s="223"/>
      <c r="H106" s="249"/>
      <c r="I106" s="219" t="str">
        <f t="array" ref="I106">if(H106&lt;&gt;"","",iferror(index(WeaponDamage,match(D106,WeaponAll,0)),""))</f>
        <v/>
      </c>
      <c r="J106" s="223" t="s">
        <v>177</v>
      </c>
      <c r="K106" s="219">
        <f t="array" ref="K106">IF(H106:H107&lt;&gt;"",rounddown(ifERROR(index(WeaponBPCost,match(D106,WeaponAll,0)))/2),0)</f>
        <v>0</v>
      </c>
      <c r="L106" s="219" t="str">
        <f>if(or(AND(D106&lt;&gt;"",D105=D106,H105=""),M106),"link weapons","")</f>
        <v/>
      </c>
      <c r="M106" s="225" t="b">
        <f>AND(NOT(D105=D104),D103&lt;&gt;"",D104&lt;&gt;"",D105&lt;&gt;"",D106&lt;&gt;"",D103=D105,D104=D106,left(right(D106,9),4="slot"))</f>
        <v>0</v>
      </c>
      <c r="N106" s="226" t="str">
        <f>if(H106&lt;&gt;"","",D106)</f>
        <v/>
      </c>
    </row>
  </sheetData>
  <mergeCells count="118">
    <mergeCell ref="G18:I18"/>
    <mergeCell ref="G10:I10"/>
    <mergeCell ref="G16:I16"/>
    <mergeCell ref="E8:I8"/>
    <mergeCell ref="F7:I7"/>
    <mergeCell ref="E9:I9"/>
    <mergeCell ref="G22:I22"/>
    <mergeCell ref="F23:I23"/>
    <mergeCell ref="E25:I25"/>
    <mergeCell ref="D10:D20"/>
    <mergeCell ref="E21:I21"/>
    <mergeCell ref="G19:I19"/>
    <mergeCell ref="G20:I20"/>
    <mergeCell ref="E5:I5"/>
    <mergeCell ref="F6:I6"/>
    <mergeCell ref="C4:C5"/>
    <mergeCell ref="B4:B5"/>
    <mergeCell ref="G14:I14"/>
    <mergeCell ref="G15:I15"/>
    <mergeCell ref="A4:A5"/>
    <mergeCell ref="A6:C7"/>
    <mergeCell ref="A8:C8"/>
    <mergeCell ref="E4:I4"/>
    <mergeCell ref="E3:I3"/>
    <mergeCell ref="G58:I58"/>
    <mergeCell ref="E57:I57"/>
    <mergeCell ref="A58:A60"/>
    <mergeCell ref="A55:A56"/>
    <mergeCell ref="G55:I55"/>
    <mergeCell ref="C55:C56"/>
    <mergeCell ref="B55:B56"/>
    <mergeCell ref="F51:I51"/>
    <mergeCell ref="F50:I50"/>
    <mergeCell ref="D55:D56"/>
    <mergeCell ref="D58:D60"/>
    <mergeCell ref="E60:I60"/>
    <mergeCell ref="G56:I56"/>
    <mergeCell ref="E54:I54"/>
    <mergeCell ref="F69:I69"/>
    <mergeCell ref="F70:I70"/>
    <mergeCell ref="F63:I63"/>
    <mergeCell ref="F64:I64"/>
    <mergeCell ref="F76:I76"/>
    <mergeCell ref="F77:I77"/>
    <mergeCell ref="F78:I78"/>
    <mergeCell ref="F79:I79"/>
    <mergeCell ref="F80:I80"/>
    <mergeCell ref="E81:I81"/>
    <mergeCell ref="B81:B82"/>
    <mergeCell ref="A81:A82"/>
    <mergeCell ref="F71:I71"/>
    <mergeCell ref="F75:I75"/>
    <mergeCell ref="F73:I73"/>
    <mergeCell ref="F74:I74"/>
    <mergeCell ref="F72:I72"/>
    <mergeCell ref="G59:I59"/>
    <mergeCell ref="F68:I68"/>
    <mergeCell ref="C81:C82"/>
    <mergeCell ref="D81:D82"/>
    <mergeCell ref="F65:I65"/>
    <mergeCell ref="F62:I62"/>
    <mergeCell ref="F61:I61"/>
    <mergeCell ref="F44:I44"/>
    <mergeCell ref="F43:I43"/>
    <mergeCell ref="F49:I49"/>
    <mergeCell ref="F45:I45"/>
    <mergeCell ref="E46:I46"/>
    <mergeCell ref="F47:I47"/>
    <mergeCell ref="F48:I48"/>
    <mergeCell ref="E38:I38"/>
    <mergeCell ref="E41:I41"/>
    <mergeCell ref="F42:I42"/>
    <mergeCell ref="B10:B20"/>
    <mergeCell ref="A10:A20"/>
    <mergeCell ref="A33:A34"/>
    <mergeCell ref="C33:C34"/>
    <mergeCell ref="B33:B34"/>
    <mergeCell ref="D33:D34"/>
    <mergeCell ref="D30:D31"/>
    <mergeCell ref="A30:A31"/>
    <mergeCell ref="B30:B31"/>
    <mergeCell ref="B58:B60"/>
    <mergeCell ref="C58:C60"/>
    <mergeCell ref="C10:C20"/>
    <mergeCell ref="D26:D28"/>
    <mergeCell ref="C26:C28"/>
    <mergeCell ref="A26:A28"/>
    <mergeCell ref="B26:B28"/>
    <mergeCell ref="C30:C31"/>
    <mergeCell ref="E35:I35"/>
    <mergeCell ref="E36:I36"/>
    <mergeCell ref="G39:I39"/>
    <mergeCell ref="G40:I40"/>
    <mergeCell ref="E32:I32"/>
    <mergeCell ref="G33:I33"/>
    <mergeCell ref="G34:I34"/>
    <mergeCell ref="E28:I28"/>
    <mergeCell ref="E29:I29"/>
    <mergeCell ref="G37:I37"/>
    <mergeCell ref="E2:I2"/>
    <mergeCell ref="E1:I1"/>
    <mergeCell ref="F52:I52"/>
    <mergeCell ref="F53:I53"/>
    <mergeCell ref="F66:I66"/>
    <mergeCell ref="F67:I67"/>
    <mergeCell ref="D39:D41"/>
    <mergeCell ref="C39:C41"/>
    <mergeCell ref="B39:B41"/>
    <mergeCell ref="A39:A41"/>
    <mergeCell ref="G27:I27"/>
    <mergeCell ref="G26:I26"/>
    <mergeCell ref="G31:I31"/>
    <mergeCell ref="G30:I30"/>
    <mergeCell ref="G13:I13"/>
    <mergeCell ref="G12:I12"/>
    <mergeCell ref="G11:I11"/>
    <mergeCell ref="G17:I17"/>
    <mergeCell ref="G24:I24"/>
  </mergeCells>
  <conditionalFormatting sqref="E61:E80">
    <cfRule type="expression" dxfId="3" priority="1">
      <formula>arrayformula(F61:F80&lt;&gt;"")</formula>
    </cfRule>
  </conditionalFormatting>
  <conditionalFormatting sqref="E1:H3 I1:N3">
    <cfRule type="notContainsBlanks" dxfId="4" priority="2">
      <formula>LEN(TRIM(E1))&gt;0</formula>
    </cfRule>
  </conditionalFormatting>
  <conditionalFormatting sqref="H84 H89 H94 H99 H104">
    <cfRule type="notContainsBlanks" dxfId="5" priority="3">
      <formula>LEN(TRIM(H84))&gt;0</formula>
    </cfRule>
  </conditionalFormatting>
  <conditionalFormatting sqref="H85 H90 H95 H100 H105">
    <cfRule type="notContainsBlanks" dxfId="6" priority="4">
      <formula>LEN(TRIM(H85))&gt;0</formula>
    </cfRule>
  </conditionalFormatting>
  <conditionalFormatting sqref="H86 H91 H96 H101 H106">
    <cfRule type="notContainsBlanks" dxfId="7" priority="5">
      <formula>LEN(TRIM(H86))&gt;0</formula>
    </cfRule>
  </conditionalFormatting>
  <conditionalFormatting sqref="H83:H86 H88:H91 H93:H96 H98:H101 H103:H106">
    <cfRule type="expression" dxfId="8" priority="6">
      <formula>arrayformula(L83:L105&lt;&gt;"")</formula>
    </cfRule>
  </conditionalFormatting>
  <conditionalFormatting sqref="M61:N80">
    <cfRule type="expression" dxfId="3" priority="7">
      <formula>arrayformula(J61:J80&lt;&gt;"")</formula>
    </cfRule>
  </conditionalFormatting>
  <conditionalFormatting sqref="E83 E88 E93 E98 E103">
    <cfRule type="expression" dxfId="9" priority="8">
      <formula>H84&lt;&gt;""</formula>
    </cfRule>
  </conditionalFormatting>
  <conditionalFormatting sqref="E84 E89 E94 E99 E104">
    <cfRule type="expression" dxfId="9" priority="9">
      <formula>H84&lt;&gt;""</formula>
    </cfRule>
  </conditionalFormatting>
  <conditionalFormatting sqref="E84 E89 E94 E99 E104">
    <cfRule type="expression" dxfId="10" priority="10">
      <formula>H85&lt;&gt;""</formula>
    </cfRule>
  </conditionalFormatting>
  <conditionalFormatting sqref="E85 E90 E95 E100 E105">
    <cfRule type="expression" dxfId="10" priority="11">
      <formula>H85&lt;&gt;""</formula>
    </cfRule>
  </conditionalFormatting>
  <conditionalFormatting sqref="E85 E90 E95 E100 E105">
    <cfRule type="expression" dxfId="1" priority="12">
      <formula>H86&lt;&gt;""</formula>
    </cfRule>
  </conditionalFormatting>
  <conditionalFormatting sqref="E86 E91 E96 E101 E106">
    <cfRule type="expression" dxfId="1" priority="13">
      <formula>H86&lt;&gt;""</formula>
    </cfRule>
  </conditionalFormatting>
  <conditionalFormatting sqref="E99">
    <cfRule type="expression" dxfId="1" priority="14">
      <formula>and(H101&lt;&gt;"",D98=D100,D99=D101,D99&lt;&gt;D100)</formula>
    </cfRule>
  </conditionalFormatting>
  <conditionalFormatting sqref="E98">
    <cfRule type="expression" dxfId="1" priority="15">
      <formula>and(H101&lt;&gt;"",D98=D100,D99=D101,D99&lt;&gt;D100)</formula>
    </cfRule>
  </conditionalFormatting>
  <dataValidations>
    <dataValidation type="list" allowBlank="1" showErrorMessage="1" sqref="G84">
      <formula1>Upgrades!$E$34:$E$36</formula1>
    </dataValidation>
    <dataValidation type="list" allowBlank="1" showErrorMessage="1" sqref="D94">
      <formula1>mountS2</formula1>
    </dataValidation>
    <dataValidation type="list" allowBlank="1" showErrorMessage="1" sqref="D100">
      <formula1>mountA3</formula1>
    </dataValidation>
    <dataValidation type="list" allowBlank="1" showErrorMessage="1" sqref="D104">
      <formula1>mountT2</formula1>
    </dataValidation>
    <dataValidation type="list" allowBlank="1" showErrorMessage="1" sqref="D32">
      <formula1>ICMChoice</formula1>
    </dataValidation>
    <dataValidation type="list" allowBlank="1" showErrorMessage="1" sqref="D85">
      <formula1>mountF3</formula1>
    </dataValidation>
    <dataValidation type="list" allowBlank="1" showErrorMessage="1" sqref="D51">
      <formula1>Build!$F$51:$J$51</formula1>
    </dataValidation>
    <dataValidation type="list" allowBlank="1" showErrorMessage="1" sqref="D42">
      <formula1>AntiHackingChoice</formula1>
    </dataValidation>
    <dataValidation type="list" allowBlank="1" showErrorMessage="1" sqref="G96">
      <formula1>Upgrades!$Q$34:$Q$36</formula1>
    </dataValidation>
    <dataValidation type="list" allowBlank="1" showErrorMessage="1" sqref="D65">
      <formula1>bay5Choice</formula1>
    </dataValidation>
    <dataValidation type="list" allowBlank="1" showErrorMessage="1" sqref="H86">
      <formula1>Build!$L$86</formula1>
    </dataValidation>
    <dataValidation type="list" allowBlank="1" showErrorMessage="1" sqref="G95">
      <formula1>Upgrades!$P$34:$P$36</formula1>
    </dataValidation>
    <dataValidation type="list" allowBlank="1" showErrorMessage="1" sqref="H95">
      <formula1>Build!$L$95</formula1>
    </dataValidation>
    <dataValidation type="list" allowBlank="1" showErrorMessage="1" sqref="D69">
      <formula1>bay9Choice</formula1>
    </dataValidation>
    <dataValidation type="list" allowBlank="1" showErrorMessage="1" sqref="H90">
      <formula1>Build!$L$90</formula1>
    </dataValidation>
    <dataValidation type="list" allowBlank="1" showErrorMessage="1" sqref="D49">
      <formula1>Build!$F$49:$J$49</formula1>
    </dataValidation>
    <dataValidation type="list" allowBlank="1" showErrorMessage="1" sqref="D78">
      <formula1>bay18Choice</formula1>
    </dataValidation>
    <dataValidation type="list" allowBlank="1" showErrorMessage="1" sqref="D36">
      <formula1>DefensiveChoice</formula1>
    </dataValidation>
    <dataValidation type="list" allowBlank="1" showErrorMessage="1" sqref="H96">
      <formula1>Build!$L$96</formula1>
    </dataValidation>
    <dataValidation type="list" allowBlank="1" showErrorMessage="1" sqref="D9">
      <formula1>FrameEligible</formula1>
    </dataValidation>
    <dataValidation type="list" allowBlank="1" showErrorMessage="1" sqref="D96">
      <formula1>mountS4</formula1>
    </dataValidation>
    <dataValidation type="list" allowBlank="1" showErrorMessage="1" sqref="D54">
      <formula1>SensorChoice</formula1>
    </dataValidation>
    <dataValidation type="list" allowBlank="1" showErrorMessage="1" sqref="H85">
      <formula1>Build!$L$85</formula1>
    </dataValidation>
    <dataValidation type="list" allowBlank="1" showErrorMessage="1" sqref="D64">
      <formula1>bay4Choice</formula1>
    </dataValidation>
    <dataValidation type="list" allowBlank="1" showErrorMessage="1" sqref="D53">
      <formula1>Build!$F$53:$J$53</formula1>
    </dataValidation>
    <dataValidation type="list" allowBlank="1" showErrorMessage="1" sqref="D25">
      <formula1>ThrusterEligible</formula1>
    </dataValidation>
    <dataValidation type="list" allowBlank="1" showErrorMessage="1" sqref="D68">
      <formula1>bay8Choice</formula1>
    </dataValidation>
    <dataValidation type="list" allowBlank="1" showErrorMessage="1" sqref="G98">
      <formula1>Upgrades!$S$34:$S$36</formula1>
    </dataValidation>
    <dataValidation type="list" allowBlank="1" showErrorMessage="1" sqref="D48">
      <formula1>Build!$F$48:$J$48</formula1>
    </dataValidation>
    <dataValidation type="list" allowBlank="1" showErrorMessage="1" sqref="G100">
      <formula1>Upgrades!$U$34:$U$36</formula1>
    </dataValidation>
    <dataValidation type="list" allowBlank="1" showErrorMessage="1" sqref="D21">
      <formula1>Core1Eligible</formula1>
    </dataValidation>
    <dataValidation type="list" allowBlank="1" showErrorMessage="1" sqref="D86">
      <formula1>mountF4</formula1>
    </dataValidation>
    <dataValidation type="list" allowBlank="1" showErrorMessage="1" sqref="D106">
      <formula1>mountT4</formula1>
    </dataValidation>
    <dataValidation type="list" allowBlank="1" showErrorMessage="1" sqref="G83">
      <formula1>Upgrades!$D$34:$D$36</formula1>
    </dataValidation>
    <dataValidation type="list" allowBlank="1" showErrorMessage="1" sqref="G93">
      <formula1>Upgrades!$N$34:$N$36</formula1>
    </dataValidation>
    <dataValidation type="list" allowBlank="1" showErrorMessage="1" sqref="D70">
      <formula1>bay10Choice</formula1>
    </dataValidation>
    <dataValidation type="list" allowBlank="1" showErrorMessage="1" sqref="D43">
      <formula1>AntipersonnelChoice</formula1>
    </dataValidation>
    <dataValidation type="list" allowBlank="1" showErrorMessage="1" sqref="D61">
      <formula1>bay1Choice</formula1>
    </dataValidation>
    <dataValidation type="list" allowBlank="1" showErrorMessage="1" sqref="D76">
      <formula1>bay16Choice</formula1>
    </dataValidation>
    <dataValidation type="list" allowBlank="1" showErrorMessage="1" sqref="D71">
      <formula1>bay11Choice</formula1>
    </dataValidation>
    <dataValidation type="list" allowBlank="1" showErrorMessage="1" sqref="G90">
      <formula1>Upgrades!$K$34:$K$36</formula1>
    </dataValidation>
    <dataValidation type="list" allowBlank="1" showErrorMessage="1" sqref="H104">
      <formula1>Build!$L$104</formula1>
    </dataValidation>
    <dataValidation type="list" allowBlank="1" showErrorMessage="1" sqref="G104">
      <formula1>Upgrades!$Y$35:$Y$36</formula1>
    </dataValidation>
    <dataValidation type="list" allowBlank="1" showErrorMessage="1" sqref="D74">
      <formula1>bay14Choice</formula1>
    </dataValidation>
    <dataValidation type="list" allowBlank="1" showErrorMessage="1" sqref="D47">
      <formula1>Build!$F$47:$J$47</formula1>
    </dataValidation>
    <dataValidation type="list" allowBlank="1" showErrorMessage="1" sqref="D80">
      <formula1>bay20Choice</formula1>
    </dataValidation>
    <dataValidation type="list" allowBlank="1" showErrorMessage="1" sqref="G91">
      <formula1>Upgrades!$L$34:$L$36</formula1>
    </dataValidation>
    <dataValidation type="list" allowBlank="1" showErrorMessage="1" sqref="D90">
      <formula1>mountP3</formula1>
    </dataValidation>
    <dataValidation type="list" allowBlank="1" showErrorMessage="1" sqref="G103">
      <formula1>Upgrades!$X$35:$X$36</formula1>
    </dataValidation>
    <dataValidation type="list" allowBlank="1" showErrorMessage="1" sqref="D103">
      <formula1>mountT1</formula1>
    </dataValidation>
    <dataValidation type="list" allowBlank="1" showErrorMessage="1" sqref="H100">
      <formula1>Build!$L$100</formula1>
    </dataValidation>
    <dataValidation type="list" allowBlank="1" showErrorMessage="1" sqref="D77">
      <formula1>bay17Choice</formula1>
    </dataValidation>
    <dataValidation type="list" allowBlank="1" showErrorMessage="1" sqref="H106">
      <formula1>Build!$L$106</formula1>
    </dataValidation>
    <dataValidation type="list" allowBlank="1" showErrorMessage="1" sqref="H89">
      <formula1>Build!$L$89</formula1>
    </dataValidation>
    <dataValidation type="list" allowBlank="1" showErrorMessage="1" sqref="D38">
      <formula1>DriftChoice</formula1>
    </dataValidation>
    <dataValidation type="list" allowBlank="1" showErrorMessage="1" sqref="D35">
      <formula1>CrewChoice</formula1>
    </dataValidation>
    <dataValidation type="list" allowBlank="1" showErrorMessage="1" sqref="D62">
      <formula1>bay2Choice</formula1>
    </dataValidation>
    <dataValidation type="list" allowBlank="1" showErrorMessage="1" sqref="D95">
      <formula1>mountS3</formula1>
    </dataValidation>
    <dataValidation type="list" allowBlank="1" showErrorMessage="1" sqref="D66">
      <formula1>bay6Choice</formula1>
    </dataValidation>
    <dataValidation type="list" allowBlank="1" showErrorMessage="1" sqref="H84">
      <formula1>Build!$L$84</formula1>
    </dataValidation>
    <dataValidation type="list" allowBlank="1" showErrorMessage="1" sqref="H101">
      <formula1>Build!$L$101</formula1>
    </dataValidation>
    <dataValidation type="list" allowBlank="1" showErrorMessage="1" sqref="D72">
      <formula1>bay12Choice</formula1>
    </dataValidation>
    <dataValidation type="list" allowBlank="1" showErrorMessage="1" sqref="D73">
      <formula1>bay13Choice</formula1>
    </dataValidation>
    <dataValidation type="list" allowBlank="1" showErrorMessage="1" sqref="G99">
      <formula1>Upgrades!$T$34:$T$36</formula1>
    </dataValidation>
    <dataValidation type="list" allowBlank="1" showErrorMessage="1" sqref="G105">
      <formula1>Upgrades!$Z$35:$Z$36</formula1>
    </dataValidation>
    <dataValidation type="list" allowBlank="1" showErrorMessage="1" sqref="D101">
      <formula1>mountA4</formula1>
    </dataValidation>
    <dataValidation type="list" allowBlank="1" showErrorMessage="1" sqref="D67">
      <formula1>bay7Choice</formula1>
    </dataValidation>
    <dataValidation type="list" allowBlank="1" showErrorMessage="1" sqref="D91">
      <formula1>mountP4</formula1>
    </dataValidation>
    <dataValidation type="list" allowBlank="1" showErrorMessage="1" sqref="D45">
      <formula1>Build!$F$45:$J$45</formula1>
    </dataValidation>
    <dataValidation type="list" allowBlank="1" showErrorMessage="1" sqref="D99">
      <formula1>mountA2</formula1>
    </dataValidation>
    <dataValidation type="list" allowBlank="1" showErrorMessage="1" sqref="G85">
      <formula1>Upgrades!$F$34:$F$36</formula1>
    </dataValidation>
    <dataValidation type="list" allowBlank="1" showErrorMessage="1" sqref="G88">
      <formula1>Upgrades!$I$34:$I$36</formula1>
    </dataValidation>
    <dataValidation type="list" allowBlank="1" showErrorMessage="1" sqref="D63">
      <formula1>bay3Choice</formula1>
    </dataValidation>
    <dataValidation type="list" allowBlank="1" showErrorMessage="1" sqref="H91">
      <formula1>Build!$L$91</formula1>
    </dataValidation>
    <dataValidation type="list" allowBlank="1" showErrorMessage="1" sqref="H105">
      <formula1>Build!$L$105</formula1>
    </dataValidation>
    <dataValidation type="list" allowBlank="1" showErrorMessage="1" sqref="G89">
      <formula1>Upgrades!$J$34:$J$36</formula1>
    </dataValidation>
    <dataValidation type="list" allowBlank="1" showErrorMessage="1" sqref="D105">
      <formula1>mountT3</formula1>
    </dataValidation>
    <dataValidation type="list" allowBlank="1" showErrorMessage="1" sqref="D44">
      <formula1>Build!$F$44:$J$44</formula1>
    </dataValidation>
    <dataValidation type="list" allowBlank="1" showErrorMessage="1" sqref="D83">
      <formula1>mountF1</formula1>
    </dataValidation>
    <dataValidation type="list" allowBlank="1" showErrorMessage="1" sqref="D57">
      <formula1>ShieldChoice</formula1>
    </dataValidation>
    <dataValidation type="list" allowBlank="1" showErrorMessage="1" sqref="G106">
      <formula1>Upgrades!$AA$35:$AA$36</formula1>
    </dataValidation>
    <dataValidation type="list" allowBlank="1" showErrorMessage="1" sqref="G86">
      <formula1>Upgrades!$G$34:$G$36</formula1>
    </dataValidation>
    <dataValidation type="list" allowBlank="1" showErrorMessage="1" sqref="D50">
      <formula1>Build!$F$50:$J$50</formula1>
    </dataValidation>
    <dataValidation type="list" allowBlank="1" showErrorMessage="1" sqref="D88">
      <formula1>mountP1</formula1>
    </dataValidation>
    <dataValidation type="list" allowBlank="1" showErrorMessage="1" sqref="D8">
      <formula1>TierChoice</formula1>
    </dataValidation>
    <dataValidation type="list" allowBlank="1" showErrorMessage="1" sqref="D79">
      <formula1>bay19Choice</formula1>
    </dataValidation>
    <dataValidation type="list" allowBlank="1" showErrorMessage="1" sqref="G101">
      <formula1>Upgrades!$V$34:$V$36</formula1>
    </dataValidation>
    <dataValidation type="list" allowBlank="1" showErrorMessage="1" sqref="D84">
      <formula1>mountF2</formula1>
    </dataValidation>
    <dataValidation type="list" allowBlank="1" showErrorMessage="1" sqref="D89">
      <formula1>mountP2</formula1>
    </dataValidation>
    <dataValidation type="list" allowBlank="1" showErrorMessage="1" sqref="D23">
      <formula1>Core2Eligible</formula1>
    </dataValidation>
    <dataValidation type="list" allowBlank="1" showErrorMessage="1" sqref="D93">
      <formula1>mountS1</formula1>
    </dataValidation>
    <dataValidation type="list" allowBlank="1" showErrorMessage="1" sqref="H99">
      <formula1>Build!$L$99</formula1>
    </dataValidation>
    <dataValidation type="list" allowBlank="1" showErrorMessage="1" sqref="G94">
      <formula1>Upgrades!$O$34:$O$36</formula1>
    </dataValidation>
    <dataValidation type="list" allowBlank="1" showErrorMessage="1" sqref="D52">
      <formula1>CounterShockChoice</formula1>
    </dataValidation>
    <dataValidation type="list" allowBlank="1" showErrorMessage="1" sqref="D75">
      <formula1>bay15Choice</formula1>
    </dataValidation>
    <dataValidation type="list" allowBlank="1" showErrorMessage="1" sqref="H94">
      <formula1>Build!$L$94</formula1>
    </dataValidation>
    <dataValidation type="list" allowBlank="1" showErrorMessage="1" sqref="D29">
      <formula1>ArmorChoice</formula1>
    </dataValidation>
    <dataValidation type="list" allowBlank="1" showErrorMessage="1" sqref="D98">
      <formula1>mountA1</formula1>
    </dataValidation>
  </dataValidations>
  <drawing r:id="rId1"/>
  <tableParts count="17">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s>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75"/>
  <cols>
    <col customWidth="1" min="1" max="1" width="26.86"/>
    <col customWidth="1" min="2" max="27" width="5.0"/>
  </cols>
  <sheetData>
    <row r="1">
      <c r="A1" s="49" t="s">
        <v>654</v>
      </c>
      <c r="B1" s="55"/>
      <c r="C1" s="270" t="s">
        <v>530</v>
      </c>
      <c r="D1" s="55" t="s">
        <v>656</v>
      </c>
      <c r="E1" s="55" t="s">
        <v>657</v>
      </c>
      <c r="F1" s="55" t="s">
        <v>658</v>
      </c>
      <c r="G1" s="55" t="s">
        <v>659</v>
      </c>
      <c r="H1" s="270" t="s">
        <v>535</v>
      </c>
      <c r="I1" s="55" t="s">
        <v>660</v>
      </c>
      <c r="J1" s="55" t="s">
        <v>661</v>
      </c>
      <c r="K1" s="55" t="s">
        <v>662</v>
      </c>
      <c r="L1" s="55" t="s">
        <v>664</v>
      </c>
      <c r="M1" s="270" t="s">
        <v>540</v>
      </c>
      <c r="N1" s="55" t="s">
        <v>665</v>
      </c>
      <c r="O1" s="55" t="s">
        <v>666</v>
      </c>
      <c r="P1" s="55" t="s">
        <v>667</v>
      </c>
      <c r="Q1" s="55" t="s">
        <v>668</v>
      </c>
      <c r="R1" s="270" t="s">
        <v>545</v>
      </c>
      <c r="S1" s="55" t="s">
        <v>669</v>
      </c>
      <c r="T1" s="55" t="s">
        <v>670</v>
      </c>
      <c r="U1" s="55" t="s">
        <v>671</v>
      </c>
      <c r="V1" s="55" t="s">
        <v>672</v>
      </c>
      <c r="W1" s="270" t="s">
        <v>550</v>
      </c>
      <c r="X1" s="55" t="s">
        <v>551</v>
      </c>
      <c r="Y1" s="55" t="s">
        <v>552</v>
      </c>
      <c r="Z1" s="55" t="s">
        <v>553</v>
      </c>
      <c r="AA1" s="55" t="s">
        <v>554</v>
      </c>
    </row>
    <row r="2">
      <c r="A2" s="49" t="s">
        <v>674</v>
      </c>
      <c r="B2" s="55"/>
      <c r="C2" s="55"/>
      <c r="D2" s="271" t="str">
        <f t="array" ref="D2:G2">transpose(WeaponsFore)</f>
        <v/>
      </c>
      <c r="E2" s="271"/>
      <c r="F2" s="271"/>
      <c r="G2" s="271"/>
      <c r="H2" s="272"/>
      <c r="I2" s="271" t="str">
        <f t="array" ref="I2:L2">transpose(WeaponsPort)</f>
        <v/>
      </c>
      <c r="J2" s="271"/>
      <c r="K2" s="271"/>
      <c r="L2" s="271"/>
      <c r="M2" s="272"/>
      <c r="N2" s="271" t="str">
        <f t="array" ref="N2:Q2">transpose(WeaponsStarboard)</f>
        <v/>
      </c>
      <c r="O2" s="271"/>
      <c r="P2" s="271"/>
      <c r="Q2" s="271"/>
      <c r="R2" s="272"/>
      <c r="S2" s="271" t="str">
        <f t="array" ref="S2:V2">transpose(WeaponsAft)</f>
        <v/>
      </c>
      <c r="T2" s="271"/>
      <c r="U2" s="271"/>
      <c r="V2" s="271"/>
      <c r="W2" s="272"/>
      <c r="X2" s="271" t="str">
        <f t="array" ref="X2:AA2">transpose(WeaponsTurret)</f>
        <v/>
      </c>
      <c r="Y2" s="271"/>
      <c r="Z2" s="271"/>
      <c r="AA2" s="271"/>
    </row>
    <row r="3">
      <c r="A3" s="49" t="s">
        <v>686</v>
      </c>
      <c r="B3" s="64"/>
      <c r="C3" s="232" t="str">
        <f t="array" ref="C3:AA3">'Ship Frames'!M17:AK17</f>
        <v>Weapons (forward)</v>
      </c>
      <c r="D3" s="273"/>
      <c r="E3" s="273"/>
      <c r="F3" s="273"/>
      <c r="G3" s="273"/>
      <c r="H3" s="273" t="s">
        <v>293</v>
      </c>
      <c r="I3" s="273"/>
      <c r="J3" s="273"/>
      <c r="K3" s="273"/>
      <c r="L3" s="273"/>
      <c r="M3" s="273" t="s">
        <v>314</v>
      </c>
      <c r="N3" s="273"/>
      <c r="O3" s="273"/>
      <c r="P3" s="273"/>
      <c r="Q3" s="273"/>
      <c r="R3" s="273" t="s">
        <v>334</v>
      </c>
      <c r="S3" s="273"/>
      <c r="T3" s="273"/>
      <c r="U3" s="273"/>
      <c r="V3" s="273"/>
      <c r="W3" s="273" t="s">
        <v>383</v>
      </c>
      <c r="X3" s="273"/>
      <c r="Y3" s="273"/>
      <c r="Z3" s="273"/>
      <c r="AA3" s="273"/>
    </row>
    <row r="4">
      <c r="A4" s="274"/>
      <c r="B4" s="64"/>
      <c r="C4" s="232"/>
      <c r="D4" s="273" t="str">
        <f t="array" ref="D4">if(and(C2="micromissile battery (slot 1/2)",D32&lt;&gt;""),"micromissile battery (slot 2/2)",if(and(C2="heavy laser array (slot 1/2)",D32&lt;&gt;""),"heavy laser array (slot 2/2)",if(D32="light",sort(WeaponLight),if(D32="light (tracking)",sort(WeaponLightTracking),if(D32="heavy",sort(WeaponHeavy),if(D32="capital",sort(WeaponCapital),""))))))</f>
        <v/>
      </c>
      <c r="E4" s="273" t="str">
        <f t="array" ref="E4">if(and(D2="micromissile battery (slot 1/2)",E32&lt;&gt;""),"micromissile battery (slot 2/2)",if(and(D2="heavy laser array (slot 1/2)",E32&lt;&gt;""),"heavy laser array (slot 2/2)",if(E32="light",sort(WeaponLight),if(E32="light (tracking)",sort(WeaponLightTracking),if(E32="heavy",sort(WeaponHeavy),if(E32="capital",sort(WeaponCapital),""))))))</f>
        <v/>
      </c>
      <c r="F4" s="273" t="str">
        <f t="array" ref="F4">if(and(E2="micromissile battery (slot 1/2)",F32&lt;&gt;""),"micromissile battery (slot 2/2)",if(and(E2="heavy laser array (slot 1/2)",F32&lt;&gt;""),"heavy laser array (slot 2/2)",if(F32="light",sort(WeaponLight),if(F32="light (tracking)",sort(WeaponLightTracking),if(F32="heavy",sort(WeaponHeavy),if(F32="capital",sort(WeaponCapital),""))))))</f>
        <v/>
      </c>
      <c r="G4" s="273" t="str">
        <f t="array" ref="G4">if(and(F2="micromissile battery (slot 1/2)",G32&lt;&gt;""),"micromissile battery (slot 2/2)",if(and(F2="heavy laser array (slot 1/2)",G32&lt;&gt;""),"heavy laser array (slot 2/2)",if(G32="light",sort(WeaponLight),if(G32="light (tracking)",sort(WeaponLightTracking),if(G32="heavy",sort(WeaponHeavy),if(G32="capital",sort(WeaponCapital),""))))))</f>
        <v/>
      </c>
      <c r="H4" s="273" t="str">
        <f t="array" ref="H4">if(and(G2="micromissile battery (slot 1/2)",H32&lt;&gt;""),"micromissile battery (slot 2/2)",if(and(G2="heavy laser array (slot 1/2)",H32&lt;&gt;""),"heavy laser array (slot 2/2)",if(H32="light",sort(WeaponLight),if(H32="light (tracking)",sort(WeaponLightTracking),if(H32="heavy",sort(WeaponHeavy),if(H32="capital",sort(WeaponCapital),""))))))</f>
        <v/>
      </c>
      <c r="I4" s="273" t="str">
        <f t="array" ref="I4">if(and(H2="micromissile battery (slot 1/2)",I32&lt;&gt;""),"micromissile battery (slot 2/2)",if(and(H2="heavy laser array (slot 1/2)",I32&lt;&gt;""),"heavy laser array (slot 2/2)",if(I32="light",sort(WeaponLight),if(I32="light (tracking)",sort(WeaponLightTracking),if(I32="heavy",sort(WeaponHeavy),if(I32="capital",sort(WeaponCapital),""))))))</f>
        <v/>
      </c>
      <c r="J4" s="273" t="str">
        <f t="array" ref="J4">if(and(I2="micromissile battery (slot 1/2)",J32&lt;&gt;""),"micromissile battery (slot 2/2)",if(and(I2="heavy laser array (slot 1/2)",J32&lt;&gt;""),"heavy laser array (slot 2/2)",if(J32="light",sort(WeaponLight),if(J32="light (tracking)",sort(WeaponLightTracking),if(J32="heavy",sort(WeaponHeavy),if(J32="capital",sort(WeaponCapital),""))))))</f>
        <v/>
      </c>
      <c r="K4" s="273" t="str">
        <f t="array" ref="K4">if(and(J2="micromissile battery (slot 1/2)",K32&lt;&gt;""),"micromissile battery (slot 2/2)",if(and(J2="heavy laser array (slot 1/2)",K32&lt;&gt;""),"heavy laser array (slot 2/2)",if(K32="light",sort(WeaponLight),if(K32="light (tracking)",sort(WeaponLightTracking),if(K32="heavy",sort(WeaponHeavy),if(K32="capital",sort(WeaponCapital),""))))))</f>
        <v/>
      </c>
      <c r="L4" s="273" t="str">
        <f t="array" ref="L4">if(and(K2="micromissile battery (slot 1/2)",L32&lt;&gt;""),"micromissile battery (slot 2/2)",if(and(K2="heavy laser array (slot 1/2)",L32&lt;&gt;""),"heavy laser array (slot 2/2)",if(L32="light",sort(WeaponLight),if(L32="light (tracking)",sort(WeaponLightTracking),if(L32="heavy",sort(WeaponHeavy),if(L32="capital",sort(WeaponCapital),""))))))</f>
        <v/>
      </c>
      <c r="M4" s="273" t="str">
        <f t="array" ref="M4">if(and(L2="micromissile battery (slot 1/2)",M32&lt;&gt;""),"micromissile battery (slot 2/2)",if(and(L2="heavy laser array (slot 1/2)",M32&lt;&gt;""),"heavy laser array (slot 2/2)",if(M32="light",sort(WeaponLight),if(M32="light (tracking)",sort(WeaponLightTracking),if(M32="heavy",sort(WeaponHeavy),if(M32="capital",sort(WeaponCapital),""))))))</f>
        <v/>
      </c>
      <c r="N4" s="273" t="str">
        <f t="array" ref="N4">if(and(M2="micromissile battery (slot 1/2)",N32&lt;&gt;""),"micromissile battery (slot 2/2)",if(and(M2="heavy laser array (slot 1/2)",N32&lt;&gt;""),"heavy laser array (slot 2/2)",if(N32="light",sort(WeaponLight),if(N32="light (tracking)",sort(WeaponLightTracking),if(N32="heavy",sort(WeaponHeavy),if(N32="capital",sort(WeaponCapital),""))))))</f>
        <v/>
      </c>
      <c r="O4" s="273" t="str">
        <f t="array" ref="O4">if(and(N2="micromissile battery (slot 1/2)",O32&lt;&gt;""),"micromissile battery (slot 2/2)",if(and(N2="heavy laser array (slot 1/2)",O32&lt;&gt;""),"heavy laser array (slot 2/2)",if(O32="light",sort(WeaponLight),if(O32="light (tracking)",sort(WeaponLightTracking),if(O32="heavy",sort(WeaponHeavy),if(O32="capital",sort(WeaponCapital),""))))))</f>
        <v/>
      </c>
      <c r="P4" s="273" t="str">
        <f t="array" ref="P4">if(and(O2="micromissile battery (slot 1/2)",P32&lt;&gt;""),"micromissile battery (slot 2/2)",if(and(O2="heavy laser array (slot 1/2)",P32&lt;&gt;""),"heavy laser array (slot 2/2)",if(P32="light",sort(WeaponLight),if(P32="light (tracking)",sort(WeaponLightTracking),if(P32="heavy",sort(WeaponHeavy),if(P32="capital",sort(WeaponCapital),""))))))</f>
        <v/>
      </c>
      <c r="Q4" s="273" t="str">
        <f t="array" ref="Q4">if(and(P2="micromissile battery (slot 1/2)",Q32&lt;&gt;""),"micromissile battery (slot 2/2)",if(and(P2="heavy laser array (slot 1/2)",Q32&lt;&gt;""),"heavy laser array (slot 2/2)",if(Q32="light",sort(WeaponLight),if(Q32="light (tracking)",sort(WeaponLightTracking),if(Q32="heavy",sort(WeaponHeavy),if(Q32="capital",sort(WeaponCapital),""))))))</f>
        <v/>
      </c>
      <c r="R4" s="273" t="str">
        <f t="array" ref="R4">if(and(Q2="micromissile battery (slot 1/2)",R32&lt;&gt;""),"micromissile battery (slot 2/2)",if(and(Q2="heavy laser array (slot 1/2)",R32&lt;&gt;""),"heavy laser array (slot 2/2)",if(R32="light",sort(WeaponLight),if(R32="light (tracking)",sort(WeaponLightTracking),if(R32="heavy",sort(WeaponHeavy),if(R32="capital",sort(WeaponCapital),""))))))</f>
        <v/>
      </c>
      <c r="S4" s="273" t="str">
        <f t="array" ref="S4">if(and(R2="micromissile battery (slot 1/2)",S32&lt;&gt;""),"micromissile battery (slot 2/2)",if(and(R2="heavy laser array (slot 1/2)",S32&lt;&gt;""),"heavy laser array (slot 2/2)",if(S32="light",sort(WeaponLight),if(S32="light (tracking)",sort(WeaponLightTracking),if(S32="heavy",sort(WeaponHeavy),if(S32="capital",sort(WeaponCapital),""))))))</f>
        <v/>
      </c>
      <c r="T4" s="273" t="str">
        <f t="array" ref="T4">if(and(S2="micromissile battery (slot 1/2)",T32&lt;&gt;""),"micromissile battery (slot 2/2)",if(and(S2="heavy laser array (slot 1/2)",T32&lt;&gt;""),"heavy laser array (slot 2/2)",if(T32="light",sort(WeaponLight),if(T32="light (tracking)",sort(WeaponLightTracking),if(T32="heavy",sort(WeaponHeavy),if(T32="capital",sort(WeaponCapital),""))))))</f>
        <v/>
      </c>
      <c r="U4" s="273" t="str">
        <f t="array" ref="U4">if(and(T2="micromissile battery (slot 1/2)",U32&lt;&gt;""),"micromissile battery (slot 2/2)",if(and(T2="heavy laser array (slot 1/2)",U32&lt;&gt;""),"heavy laser array (slot 2/2)",if(U32="light",sort(WeaponLight),if(U32="light (tracking)",sort(WeaponLightTracking),if(U32="heavy",sort(WeaponHeavy),if(U32="capital",sort(WeaponCapital),""))))))</f>
        <v/>
      </c>
      <c r="V4" s="273" t="str">
        <f t="array" ref="V4">if(and(U2="micromissile battery (slot 1/2)",V32&lt;&gt;""),"micromissile battery (slot 2/2)",if(and(U2="heavy laser array (slot 1/2)",V32&lt;&gt;""),"heavy laser array (slot 2/2)",if(V32="light",sort(WeaponLight),if(V32="light (tracking)",sort(WeaponLightTracking),if(V32="heavy",sort(WeaponHeavy),if(V32="capital",sort(WeaponCapital),""))))))</f>
        <v/>
      </c>
      <c r="W4" s="273" t="str">
        <f t="array" ref="W4">if(and(V2="micromissile battery (slot 1/2)",W32&lt;&gt;""),"micromissile battery (slot 2/2)",if(and(V2="heavy laser array (slot 1/2)",W32&lt;&gt;""),"heavy laser array (slot 2/2)",if(W32="light",sort(WeaponLight),if(W32="light (tracking)",sort(WeaponLightTracking),if(W32="heavy",sort(WeaponHeavy),if(W32="capital",sort(WeaponCapital),""))))))</f>
        <v/>
      </c>
      <c r="X4" s="273" t="str">
        <f t="array" ref="X4">if(and(W2="micromissile battery (slot 1/2)",X32&lt;&gt;""),"micromissile battery (slot 2/2)",if(and(W2="heavy laser array (slot 1/2)",X32&lt;&gt;""),"heavy laser array (slot 2/2)",if(X32="light",sort(WeaponLight),if(X32="light (tracking)",sort(WeaponLightTracking),if(X32="heavy",sort(WeaponHeavy),if(X32="capital",sort(WeaponCapital),""))))))</f>
        <v/>
      </c>
      <c r="Y4" s="273" t="str">
        <f t="array" ref="Y4">if(and(X2="micromissile battery (slot 1/2)",Y32&lt;&gt;""),"micromissile battery (slot 2/2)",if(and(X2="heavy laser array (slot 1/2)",Y32&lt;&gt;""),"heavy laser array (slot 2/2)",if(Y32="light",sort(WeaponLight),if(Y32="light (tracking)",sort(WeaponLightTracking),if(Y32="heavy",sort(WeaponHeavy),if(Y32="capital",sort(WeaponCapital),""))))))</f>
        <v/>
      </c>
      <c r="Z4" s="273" t="str">
        <f t="array" ref="Z4">if(and(Y2="micromissile battery (slot 1/2)",Z32&lt;&gt;""),"micromissile battery (slot 2/2)",if(and(Y2="heavy laser array (slot 1/2)",Z32&lt;&gt;""),"heavy laser array (slot 2/2)",if(Z32="light",sort(WeaponLight),if(Z32="light (tracking)",sort(WeaponLightTracking),if(Z32="heavy",sort(WeaponHeavy),if(Z32="capital",sort(WeaponCapital),""))))))</f>
        <v/>
      </c>
      <c r="AA4" s="273" t="str">
        <f t="array" ref="AA4">if(and(Z2="micromissile battery (slot 1/2)",AA32&lt;&gt;""),"micromissile battery (slot 2/2)",if(and(Z2="heavy laser array (slot 1/2)",AA32&lt;&gt;""),"heavy laser array (slot 2/2)",if(AA32="light",sort(WeaponLight),if(AA32="light (tracking)",sort(WeaponLightTracking),if(AA32="heavy",sort(WeaponHeavy),if(AA32="capital",sort(WeaponCapital),""))))))</f>
        <v/>
      </c>
    </row>
    <row r="5">
      <c r="A5" s="274"/>
      <c r="B5" s="64"/>
      <c r="C5" s="232"/>
      <c r="D5" s="273"/>
      <c r="E5" s="273"/>
      <c r="F5" s="273"/>
      <c r="G5" s="273"/>
      <c r="H5" s="273"/>
      <c r="I5" s="273"/>
      <c r="J5" s="273"/>
      <c r="K5" s="273"/>
      <c r="L5" s="273"/>
      <c r="M5" s="273"/>
      <c r="N5" s="273"/>
      <c r="O5" s="273"/>
      <c r="P5" s="273"/>
      <c r="Q5" s="273"/>
      <c r="R5" s="273"/>
      <c r="S5" s="273"/>
      <c r="T5" s="273"/>
      <c r="U5" s="273"/>
      <c r="V5" s="273"/>
      <c r="W5" s="273"/>
      <c r="X5" s="273"/>
      <c r="Y5" s="273"/>
      <c r="Z5" s="273"/>
      <c r="AA5" s="273"/>
    </row>
    <row r="6">
      <c r="A6" s="274"/>
      <c r="B6" s="64"/>
      <c r="C6" s="232"/>
      <c r="D6" s="273"/>
      <c r="E6" s="273"/>
      <c r="F6" s="273"/>
      <c r="G6" s="273"/>
      <c r="H6" s="273"/>
      <c r="I6" s="273"/>
      <c r="J6" s="273"/>
      <c r="K6" s="273"/>
      <c r="L6" s="273"/>
      <c r="M6" s="273"/>
      <c r="N6" s="273"/>
      <c r="O6" s="273"/>
      <c r="P6" s="273"/>
      <c r="Q6" s="273"/>
      <c r="R6" s="273"/>
      <c r="S6" s="273"/>
      <c r="T6" s="273"/>
      <c r="U6" s="273"/>
      <c r="V6" s="273"/>
      <c r="W6" s="273"/>
      <c r="X6" s="273"/>
      <c r="Y6" s="273"/>
      <c r="Z6" s="273"/>
      <c r="AA6" s="273"/>
    </row>
    <row r="7">
      <c r="A7" s="274"/>
      <c r="B7" s="64"/>
      <c r="C7" s="232"/>
      <c r="D7" s="273"/>
      <c r="E7" s="273"/>
      <c r="F7" s="273"/>
      <c r="G7" s="273"/>
      <c r="H7" s="273"/>
      <c r="I7" s="273"/>
      <c r="J7" s="273"/>
      <c r="K7" s="273"/>
      <c r="L7" s="273"/>
      <c r="M7" s="273"/>
      <c r="N7" s="273"/>
      <c r="O7" s="273"/>
      <c r="P7" s="273"/>
      <c r="Q7" s="273"/>
      <c r="R7" s="273"/>
      <c r="S7" s="273"/>
      <c r="T7" s="273"/>
      <c r="U7" s="273"/>
      <c r="V7" s="273"/>
      <c r="W7" s="273"/>
      <c r="X7" s="273"/>
      <c r="Y7" s="273"/>
      <c r="Z7" s="273"/>
      <c r="AA7" s="273"/>
    </row>
    <row r="8">
      <c r="A8" s="274"/>
      <c r="B8" s="64"/>
      <c r="C8" s="232"/>
      <c r="D8" s="273"/>
      <c r="E8" s="273"/>
      <c r="F8" s="273"/>
      <c r="G8" s="273"/>
      <c r="H8" s="273"/>
      <c r="I8" s="273"/>
      <c r="J8" s="273"/>
      <c r="K8" s="273"/>
      <c r="L8" s="273"/>
      <c r="M8" s="273"/>
      <c r="N8" s="273"/>
      <c r="O8" s="273"/>
      <c r="P8" s="273"/>
      <c r="Q8" s="273"/>
      <c r="R8" s="273"/>
      <c r="S8" s="273"/>
      <c r="T8" s="273"/>
      <c r="U8" s="273"/>
      <c r="V8" s="273"/>
      <c r="W8" s="273"/>
      <c r="X8" s="273"/>
      <c r="Y8" s="273"/>
      <c r="Z8" s="273"/>
      <c r="AA8" s="273"/>
    </row>
    <row r="9">
      <c r="A9" s="274"/>
      <c r="B9" s="64"/>
      <c r="C9" s="232"/>
      <c r="D9" s="273"/>
      <c r="E9" s="273"/>
      <c r="F9" s="273"/>
      <c r="G9" s="273"/>
      <c r="H9" s="273"/>
      <c r="I9" s="273"/>
      <c r="J9" s="273"/>
      <c r="K9" s="273"/>
      <c r="L9" s="273"/>
      <c r="M9" s="273"/>
      <c r="N9" s="273"/>
      <c r="O9" s="273"/>
      <c r="P9" s="273"/>
      <c r="Q9" s="273"/>
      <c r="R9" s="273"/>
      <c r="S9" s="273"/>
      <c r="T9" s="273"/>
      <c r="U9" s="273"/>
      <c r="V9" s="273"/>
      <c r="W9" s="273"/>
      <c r="X9" s="273"/>
      <c r="Y9" s="273"/>
      <c r="Z9" s="273"/>
      <c r="AA9" s="273"/>
    </row>
    <row r="10">
      <c r="A10" s="274"/>
      <c r="B10" s="64"/>
      <c r="C10" s="232"/>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row>
    <row r="11">
      <c r="A11" s="274"/>
      <c r="B11" s="64"/>
      <c r="C11" s="232"/>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row>
    <row r="12">
      <c r="A12" s="49"/>
      <c r="B12" s="55"/>
      <c r="C12" s="232"/>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row>
    <row r="13">
      <c r="A13" s="49" t="s">
        <v>914</v>
      </c>
      <c r="B13" s="55"/>
      <c r="C13" s="232"/>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row>
    <row r="14">
      <c r="A14" s="289" t="s">
        <v>915</v>
      </c>
      <c r="B14" s="55"/>
      <c r="C14" s="232"/>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row>
    <row r="15">
      <c r="A15" s="291" t="s">
        <v>917</v>
      </c>
      <c r="B15" s="55"/>
      <c r="C15" s="232"/>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row>
    <row r="16">
      <c r="A16" s="291" t="s">
        <v>918</v>
      </c>
      <c r="B16" s="55"/>
      <c r="C16" s="232"/>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row>
    <row r="17">
      <c r="A17" s="294" t="s">
        <v>919</v>
      </c>
      <c r="B17" s="55"/>
      <c r="C17" s="232"/>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row>
    <row r="18">
      <c r="A18" s="274"/>
      <c r="B18" s="64"/>
      <c r="C18" s="232"/>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row>
    <row r="19">
      <c r="A19" s="274"/>
      <c r="B19" s="64"/>
      <c r="C19" s="232"/>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row>
    <row r="20">
      <c r="A20" s="49"/>
      <c r="B20" s="55"/>
      <c r="C20" s="232"/>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row>
    <row r="21">
      <c r="A21" s="49"/>
      <c r="B21" s="55"/>
      <c r="C21" s="232"/>
      <c r="D21" s="273"/>
      <c r="E21" s="273"/>
      <c r="F21" s="273"/>
      <c r="G21" s="273"/>
      <c r="H21" s="273"/>
      <c r="I21" s="273"/>
      <c r="J21" s="273"/>
      <c r="K21" s="273"/>
      <c r="L21" s="273"/>
      <c r="M21" s="273"/>
      <c r="N21" s="273"/>
      <c r="O21" s="273"/>
      <c r="P21" s="273"/>
      <c r="Q21" s="273"/>
      <c r="R21" s="273"/>
      <c r="S21" s="273"/>
      <c r="T21" s="273"/>
      <c r="U21" s="273"/>
      <c r="V21" s="273"/>
      <c r="W21" s="273"/>
      <c r="X21" s="273"/>
      <c r="Y21" s="273"/>
      <c r="Z21" s="273"/>
      <c r="AA21" s="273"/>
    </row>
    <row r="22">
      <c r="A22" s="274"/>
      <c r="B22" s="64"/>
      <c r="C22" s="232"/>
      <c r="D22" s="273"/>
      <c r="E22" s="273"/>
      <c r="F22" s="273"/>
      <c r="G22" s="273"/>
      <c r="H22" s="273"/>
      <c r="I22" s="273"/>
      <c r="J22" s="273"/>
      <c r="K22" s="273"/>
      <c r="L22" s="273"/>
      <c r="M22" s="273"/>
      <c r="N22" s="273"/>
      <c r="O22" s="273"/>
      <c r="P22" s="273"/>
      <c r="Q22" s="273"/>
      <c r="R22" s="273"/>
      <c r="S22" s="273"/>
      <c r="T22" s="273"/>
      <c r="U22" s="273"/>
      <c r="V22" s="273"/>
      <c r="W22" s="273"/>
      <c r="X22" s="273"/>
      <c r="Y22" s="273"/>
      <c r="Z22" s="273"/>
      <c r="AA22" s="273"/>
    </row>
    <row r="23">
      <c r="A23" s="274"/>
      <c r="B23" s="64"/>
      <c r="C23" s="232"/>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row>
    <row r="24">
      <c r="A24" s="297" t="s">
        <v>920</v>
      </c>
      <c r="B24" s="298"/>
      <c r="C24" s="232"/>
      <c r="D24" s="273"/>
      <c r="E24" s="273"/>
      <c r="F24" s="273"/>
      <c r="G24" s="273"/>
      <c r="H24" s="273"/>
      <c r="I24" s="273"/>
      <c r="J24" s="273"/>
      <c r="K24" s="273"/>
      <c r="L24" s="273"/>
      <c r="M24" s="273"/>
      <c r="N24" s="273"/>
      <c r="O24" s="273"/>
      <c r="P24" s="273"/>
      <c r="Q24" s="273"/>
      <c r="R24" s="273"/>
      <c r="S24" s="273"/>
      <c r="T24" s="273"/>
      <c r="U24" s="273"/>
      <c r="V24" s="273"/>
      <c r="W24" s="273"/>
      <c r="X24" s="273"/>
      <c r="Y24" s="273"/>
      <c r="Z24" s="273"/>
      <c r="AA24" s="273"/>
    </row>
    <row r="25">
      <c r="A25" s="299" t="str">
        <f>if(ShipSizeNum&gt;=5,"Upgrade Mount Hy&gt;Cp","")</f>
        <v/>
      </c>
      <c r="B25" s="300">
        <v>5.0</v>
      </c>
      <c r="C25" s="232"/>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row>
    <row r="26">
      <c r="A26" s="299" t="str">
        <f>if(ShipSizeNum&gt;=3,"Upgrade Mount Lt&gt;Hy","")</f>
        <v/>
      </c>
      <c r="B26" s="300">
        <v>4.0</v>
      </c>
      <c r="C26" s="232"/>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row>
    <row r="27">
      <c r="A27" s="299" t="s">
        <v>921</v>
      </c>
      <c r="B27" s="300">
        <v>3.0</v>
      </c>
      <c r="C27" s="232"/>
      <c r="D27" s="273"/>
      <c r="E27" s="273"/>
      <c r="F27" s="273"/>
      <c r="G27" s="273"/>
      <c r="H27" s="273"/>
      <c r="I27" s="273"/>
      <c r="J27" s="273"/>
      <c r="K27" s="273"/>
      <c r="L27" s="273"/>
      <c r="M27" s="273"/>
      <c r="N27" s="273"/>
      <c r="O27" s="273"/>
      <c r="P27" s="273"/>
      <c r="Q27" s="273"/>
      <c r="R27" s="273"/>
      <c r="S27" s="273"/>
      <c r="T27" s="273"/>
      <c r="U27" s="273"/>
      <c r="V27" s="273"/>
      <c r="W27" s="273"/>
      <c r="X27" s="273"/>
      <c r="Y27" s="273"/>
      <c r="Z27" s="273"/>
      <c r="AA27" s="273"/>
    </row>
    <row r="28">
      <c r="A28" s="301"/>
      <c r="B28" s="302"/>
      <c r="C28" s="232"/>
      <c r="D28" s="273"/>
      <c r="E28" s="273"/>
      <c r="F28" s="273"/>
      <c r="G28" s="273"/>
      <c r="H28" s="273"/>
      <c r="I28" s="273"/>
      <c r="J28" s="273"/>
      <c r="K28" s="273"/>
      <c r="L28" s="273"/>
      <c r="M28" s="273"/>
      <c r="N28" s="273"/>
      <c r="O28" s="273"/>
      <c r="P28" s="273"/>
      <c r="Q28" s="273"/>
      <c r="R28" s="273"/>
      <c r="S28" s="273"/>
      <c r="T28" s="273"/>
      <c r="U28" s="273"/>
      <c r="V28" s="273"/>
      <c r="W28" s="273"/>
      <c r="X28" s="273"/>
      <c r="Y28" s="273"/>
      <c r="Z28" s="273"/>
      <c r="AA28" s="273"/>
    </row>
    <row r="29">
      <c r="A29" s="299" t="str">
        <f>if(ShipSizeNum&gt;=3,"Upgrade Turret Lt&gt;Hy","")</f>
        <v/>
      </c>
      <c r="B29" s="300">
        <v>6.0</v>
      </c>
      <c r="C29" s="232"/>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row>
    <row r="30">
      <c r="A30" s="303" t="s">
        <v>922</v>
      </c>
      <c r="B30" s="304">
        <v>5.0</v>
      </c>
      <c r="C30" s="232"/>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row>
    <row r="31">
      <c r="A31" s="274"/>
      <c r="B31" s="64"/>
      <c r="C31" s="305"/>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row>
    <row r="32">
      <c r="A32" s="49" t="s">
        <v>923</v>
      </c>
      <c r="B32" s="55"/>
      <c r="C32" s="306" t="str">
        <f>C3</f>
        <v>Weapons (forward)</v>
      </c>
      <c r="D32" s="307" t="str">
        <f>if(D33="",D3,IF(OR(D33=UpHeavy,D33=upHeavyTurret),"heavy",if(D33=upCapital,"capital",if(OR(D33=upLight,D33=upLightTurret),"light"))))</f>
        <v/>
      </c>
      <c r="E32" s="307" t="str">
        <f>if(E33="",E3,IF(OR(E33=UpHeavy,E33=upHeavyTurret),"heavy",if(E33=upCapital,"capital",if(OR(E33=upLight,E33=upLightTurret),"light",""))))</f>
        <v/>
      </c>
      <c r="F32" s="307" t="str">
        <f>if(F33="",F3,IF(OR(F33=UpHeavy,F33=upHeavyTurret),"heavy",if(F33=upCapital,"capital",if(OR(F33=upLight,F33=upLightTurret),"light"))))</f>
        <v/>
      </c>
      <c r="G32" s="307" t="str">
        <f>if(G33="",G3,IF(OR(G33=UpHeavy,G33=upHeavyTurret),"heavy",if(G33=upCapital,"capital",if(OR(G33=upLight,G33=upLightTurret),"light"))))</f>
        <v/>
      </c>
      <c r="H32" s="307" t="str">
        <f>H3</f>
        <v>Weapons (port)</v>
      </c>
      <c r="I32" s="307" t="str">
        <f>if(I33="",I3,IF(OR(I33=UpHeavy,I33=upHeavyTurret),"heavy",if(I33=upCapital,"capital",if(OR(I33=upLight,I33=upLightTurret),"light"))))</f>
        <v/>
      </c>
      <c r="J32" s="307" t="str">
        <f>if(J33="",J3,IF(OR(J33=UpHeavy,J33=upHeavyTurret),"heavy",if(J33=upCapital,"capital",if(OR(J33=upLight,J33=upLightTurret),"light"))))</f>
        <v/>
      </c>
      <c r="K32" s="307" t="str">
        <f>if(K33="",K3,IF(OR(K33=UpHeavy,K33=upHeavyTurret),"heavy",if(K33=upCapital,"capital",if(OR(K33=upLight,K33=upLightTurret),"light"))))</f>
        <v/>
      </c>
      <c r="L32" s="307" t="str">
        <f>if(L33="",L3,IF(OR(L33=UpHeavy,L33=upHeavyTurret),"heavy",if(L33=upCapital,"capital",if(OR(L33=upLight,L33=upLightTurret),"light"))))</f>
        <v/>
      </c>
      <c r="M32" s="307" t="str">
        <f>M3</f>
        <v>Weapons (starboard)</v>
      </c>
      <c r="N32" s="307" t="str">
        <f>if(N33="",N3,IF(OR(N33=UpHeavy,N33=upHeavyTurret),"heavy",if(N33=upCapital,"capital",if(OR(N33=upLight,N33=upLightTurret),"light"))))</f>
        <v/>
      </c>
      <c r="O32" s="307" t="str">
        <f>if(O33="",O3,IF(OR(O33=UpHeavy,O33=upHeavyTurret),"heavy",if(O33=upCapital,"capital",if(OR(O33=upLight,O33=upLightTurret),"light"))))</f>
        <v/>
      </c>
      <c r="P32" s="307" t="str">
        <f>if(P33="",P3,IF(OR(P33=UpHeavy,P33=upHeavyTurret),"heavy",if(P33=upCapital,"capital",if(OR(P33=upLight,P33=upLightTurret),"light"))))</f>
        <v/>
      </c>
      <c r="Q32" s="307" t="str">
        <f>if(Q33="",Q3,IF(OR(Q33=UpHeavy,Q33=upHeavyTurret),"heavy",if(Q33=upCapital,"capital",if(OR(Q33=upLight,Q33=upLightTurret),"light"))))</f>
        <v/>
      </c>
      <c r="R32" s="307" t="str">
        <f>R3</f>
        <v>Weapons (aft)</v>
      </c>
      <c r="S32" s="307" t="str">
        <f>if(S33="",S3,IF(OR(S33=UpHeavy,S33=upHeavyTurret),"heavy",if(S33=upCapital,"capital",if(OR(S33=upLight,S33=upLightTurret),"light"))))</f>
        <v/>
      </c>
      <c r="T32" s="307" t="str">
        <f>if(T33="",T3,IF(OR(T33=UpHeavy,T33=upHeavyTurret),"heavy",if(T33=upCapital,"capital",if(OR(T33=upLight,T33=upLightTurret),"light"))))</f>
        <v/>
      </c>
      <c r="U32" s="307" t="str">
        <f>if(U33="",U3,IF(OR(U33=UpHeavy,U33=upHeavyTurret),"heavy",if(U33=upCapital,"capital",if(OR(U33=upLight,U33=upLightTurret),"light"))))</f>
        <v/>
      </c>
      <c r="V32" s="307" t="str">
        <f>if(V33="",V3,IF(OR(V33=UpHeavy,V33=upHeavyTurret),"heavy",if(V33=upCapital,"capital",if(OR(V33=upLight,V33=upLightTurret),"light"))))</f>
        <v/>
      </c>
      <c r="W32" s="307" t="str">
        <f>W3</f>
        <v>Weapons (turret)</v>
      </c>
      <c r="X32" s="307" t="str">
        <f>if(X33="",X3,IF(OR(X33=UpHeavy,X33=upHeavyTurret),"heavy",if(X33=upCapital,"capital",if(OR(X33=upLight,X33=upLightTurret),"light"))))</f>
        <v/>
      </c>
      <c r="Y32" s="307" t="str">
        <f>if(Y33="",Y3,IF(OR(Y33=UpHeavy,Y33=upHeavyTurret),"heavy",if(Y33=upCapital,"capital",if(OR(Y33=upLight,Y33=upLightTurret),"light"))))</f>
        <v/>
      </c>
      <c r="Z32" s="307" t="str">
        <f>if(Z33="",Z3,IF(OR(Z33=UpHeavy,Z33=upHeavyTurret),"heavy",if(Z33=upCapital,"capital",if(OR(Z33=upLight,Z33=upLightTurret),"light"))))</f>
        <v/>
      </c>
      <c r="AA32" s="307" t="str">
        <f>if(AA33="",AA3,IF(OR(AA33=UpHeavy,AA33=upHeavyTurret),"heavy",if(AA33=upCapital,"capital",if(OR(AA33=upLight,AA33=upLightTurret),"light"))))</f>
        <v/>
      </c>
    </row>
    <row r="33">
      <c r="A33" s="49" t="s">
        <v>924</v>
      </c>
      <c r="B33" s="55"/>
      <c r="C33" s="55" t="str">
        <f t="array" ref="C33:AA33">transpose(Build!G82:G106)</f>
        <v>UPGRADE OR ADD MOUNT</v>
      </c>
      <c r="D33" s="272"/>
      <c r="E33" s="272"/>
      <c r="F33" s="272"/>
      <c r="G33" s="272"/>
      <c r="H33" s="272" t="s">
        <v>229</v>
      </c>
      <c r="I33" s="272"/>
      <c r="J33" s="272"/>
      <c r="K33" s="272"/>
      <c r="L33" s="272"/>
      <c r="M33" s="272" t="s">
        <v>229</v>
      </c>
      <c r="N33" s="272"/>
      <c r="O33" s="272"/>
      <c r="P33" s="272"/>
      <c r="Q33" s="272"/>
      <c r="R33" s="272" t="s">
        <v>229</v>
      </c>
      <c r="S33" s="272"/>
      <c r="T33" s="272"/>
      <c r="U33" s="272"/>
      <c r="V33" s="272"/>
      <c r="W33" s="272" t="s">
        <v>229</v>
      </c>
      <c r="X33" s="272"/>
      <c r="Y33" s="272"/>
      <c r="Z33" s="272"/>
      <c r="AA33" s="272"/>
    </row>
    <row r="34">
      <c r="A34" s="49" t="s">
        <v>925</v>
      </c>
      <c r="B34" s="235"/>
      <c r="C34" s="235"/>
      <c r="D34" s="308" t="str">
        <f t="array" ref="D34:D36">if(D$3="",$A$25:$A$27,if(D$3="light",$A$25:$A$26,if(D$3="heavy",upCapital,"")))</f>
        <v/>
      </c>
      <c r="E34" s="308" t="str">
        <f t="array" ref="E34:E36">if(E$3="",$A$25:$A$27,if(E$3="light",$A$25:$A$26,if(E$3="heavy",upCapital,"")))</f>
        <v/>
      </c>
      <c r="F34" s="308" t="str">
        <f t="array" ref="F34:F36">if(OR(ShipSize="tiny",ShipSize="small"),"",if(F$3="",$A$25:$A$27,if(F$3="light",$A$25:$A$26,if(F$3="heavy",upCapital,""))))</f>
        <v/>
      </c>
      <c r="G34" s="308" t="str">
        <f t="array" ref="G34:G36">if(OR(ShipSize="tiny",ShipSize="small", ShipSize="medium",ShipSize="large"),"",if(G$3="",$A$25:$A$27,if(G$3="light",$A$25:$A$26,if(G$3="heavy",upCapital,""))))</f>
        <v/>
      </c>
      <c r="H34" s="308"/>
      <c r="I34" s="308" t="str">
        <f t="array" ref="I34:I36">if(I$3="",$A$25:$A$27,if(I$3="light",$A$25:$A$26,if(I$3="heavy",upCapital,"")))</f>
        <v/>
      </c>
      <c r="J34" s="308" t="str">
        <f t="array" ref="J34:J36">if(J$3="",$A$25:$A$27,if(J$3="light",$A$25:$A$26,if(J$3="heavy",upCapital,"")))</f>
        <v/>
      </c>
      <c r="K34" s="308" t="str">
        <f t="array" ref="K34:K36">if(OR(ShipSize="tiny",ShipSize="small"),"",if(K$3="",$A$25:$A$27,if(K$3="light",$A$25:$A$26,if(K$3="heavy",upCapital,""))))</f>
        <v/>
      </c>
      <c r="L34" s="308" t="str">
        <f t="array" ref="L34:L36">if(OR(ShipSize="tiny",ShipSize="small", ShipSize="medium",ShipSize="large"),"",if(L$3="",$A$25:$A$27,if(L$3="light",$A$25:$A$26,if(L$3="heavy",upCapital,""))))</f>
        <v/>
      </c>
      <c r="M34" s="308"/>
      <c r="N34" s="308" t="str">
        <f t="array" ref="N34:N36">if(N$3="",$A$25:$A$27,if(N$3="light",$A$25:$A$26,if(N$3="heavy",upCapital,"")))</f>
        <v/>
      </c>
      <c r="O34" s="308" t="str">
        <f t="array" ref="O34:O36">if(O$3="",$A$25:$A$27,if(O$3="light",$A$25:$A$26,if(O$3="heavy",upCapital,"")))</f>
        <v/>
      </c>
      <c r="P34" s="308" t="str">
        <f t="array" ref="P34:P36">if(OR(ShipSize="tiny",ShipSize="small"),"",if(P$3="",$A$25:$A$27,if(P$3="light",$A$25:$A$26,if(P$3="heavy",upCapital,""))))</f>
        <v/>
      </c>
      <c r="Q34" s="308" t="str">
        <f t="array" ref="Q34:Q36">if(OR(ShipSize="tiny",ShipSize="small", ShipSize="medium",ShipSize="large"),"",if(Q$3="",$A$25:$A$27,if(Q$3="light",$A$25:$A$26,if(Q$3="heavy",upCapital,""))))</f>
        <v/>
      </c>
      <c r="R34" s="308"/>
      <c r="S34" s="308" t="str">
        <f t="array" ref="S34:S36">if(S$3="",$A$25:$A$27,if(S$3="light",$A$25:$A$26,if(S$3="heavy",upCapital,"")))</f>
        <v/>
      </c>
      <c r="T34" s="308" t="str">
        <f t="array" ref="T34:T36">if(T$3="",$A$25:$A$27,if(T$3="light",$A$25:$A$26,if(T$3="heavy",upCapital,"")))</f>
        <v/>
      </c>
      <c r="U34" s="308" t="str">
        <f t="array" ref="U34:U36">if(OR(ShipSize="tiny",ShipSize="small"),"",if(U$3="",$A$25:$A$27,if(U$3="light",$A$25:$A$26,if(U$3="heavy",upCapital,""))))</f>
        <v/>
      </c>
      <c r="V34" s="308" t="str">
        <f t="array" ref="V34:V36">if(OR(ShipSize="tiny",ShipSize="small", ShipSize="medium",ShipSize="large"),"",if(V$3="",$A$25:$A$27,if(V$3="light",$A$25:$A$26,if(V$3="heavy",upCapital,""))))</f>
        <v/>
      </c>
      <c r="W34" s="308"/>
      <c r="X34" s="312"/>
      <c r="Y34" s="312"/>
      <c r="Z34" s="312"/>
      <c r="AA34" s="312"/>
    </row>
    <row r="35">
      <c r="A35" s="49" t="s">
        <v>948</v>
      </c>
      <c r="B35" s="231"/>
      <c r="C35" s="231"/>
      <c r="D35" s="245" t="s">
        <v>177</v>
      </c>
      <c r="E35" s="245" t="s">
        <v>177</v>
      </c>
      <c r="F35" s="245" t="s">
        <v>177</v>
      </c>
      <c r="G35" s="245" t="s">
        <v>177</v>
      </c>
      <c r="H35" s="245"/>
      <c r="I35" s="245" t="s">
        <v>177</v>
      </c>
      <c r="J35" s="245" t="s">
        <v>177</v>
      </c>
      <c r="K35" s="245" t="s">
        <v>177</v>
      </c>
      <c r="L35" s="245" t="s">
        <v>177</v>
      </c>
      <c r="M35" s="245"/>
      <c r="N35" s="245" t="s">
        <v>177</v>
      </c>
      <c r="O35" s="245" t="s">
        <v>177</v>
      </c>
      <c r="P35" s="245" t="s">
        <v>177</v>
      </c>
      <c r="Q35" s="245" t="s">
        <v>177</v>
      </c>
      <c r="R35" s="245"/>
      <c r="S35" s="245" t="s">
        <v>177</v>
      </c>
      <c r="T35" s="245" t="s">
        <v>177</v>
      </c>
      <c r="U35" s="245" t="s">
        <v>177</v>
      </c>
      <c r="V35" s="245" t="s">
        <v>177</v>
      </c>
      <c r="W35" s="245"/>
      <c r="X35" s="245" t="str">
        <f t="array" ref="X35:X36">if(X$3="",$A$29:$A$30,if(X$3="light",upHeavyTurret,""))</f>
        <v/>
      </c>
      <c r="Y35" s="245" t="str">
        <f t="array" ref="Y35:Y36">if(Y$3="",$A$29:$A$30,if(Y$3="light",upHeavyTurret,""))</f>
        <v/>
      </c>
      <c r="Z35" s="245" t="str">
        <f t="array" ref="Z35:Z36">if(OR(ShipSize="tiny",ShipSize="small"),"",if(Z$3="",$A$29:$A$30,if(Z$3="light",upHeavyTurret,"")))</f>
        <v/>
      </c>
      <c r="AA35" s="245" t="str">
        <f t="array" ref="AA35:AA36">if(OR(ShipSize="tiny",ShipSize="small", ShipSize="medium",ShipSize="large"),"",if(AA$3="",$A$29:$A$30,if(AA$3="light",upHeavyTurret,"")))</f>
        <v/>
      </c>
    </row>
    <row r="36">
      <c r="A36" s="49" t="s">
        <v>949</v>
      </c>
      <c r="B36" s="228"/>
      <c r="C36" s="228"/>
      <c r="D36" s="244" t="s">
        <v>921</v>
      </c>
      <c r="E36" s="244" t="s">
        <v>921</v>
      </c>
      <c r="F36" s="244" t="s">
        <v>921</v>
      </c>
      <c r="G36" s="244" t="s">
        <v>921</v>
      </c>
      <c r="H36" s="244"/>
      <c r="I36" s="244" t="s">
        <v>921</v>
      </c>
      <c r="J36" s="244" t="s">
        <v>921</v>
      </c>
      <c r="K36" s="244" t="s">
        <v>921</v>
      </c>
      <c r="L36" s="244" t="s">
        <v>921</v>
      </c>
      <c r="M36" s="244"/>
      <c r="N36" s="244" t="s">
        <v>921</v>
      </c>
      <c r="O36" s="244" t="s">
        <v>921</v>
      </c>
      <c r="P36" s="244" t="s">
        <v>921</v>
      </c>
      <c r="Q36" s="244" t="s">
        <v>921</v>
      </c>
      <c r="R36" s="244"/>
      <c r="S36" s="244" t="s">
        <v>921</v>
      </c>
      <c r="T36" s="244" t="s">
        <v>921</v>
      </c>
      <c r="U36" s="244" t="s">
        <v>921</v>
      </c>
      <c r="V36" s="244" t="s">
        <v>921</v>
      </c>
      <c r="W36" s="244"/>
      <c r="X36" s="244" t="s">
        <v>922</v>
      </c>
      <c r="Y36" s="244" t="s">
        <v>922</v>
      </c>
      <c r="Z36" s="244" t="s">
        <v>922</v>
      </c>
      <c r="AA36" s="244" t="s">
        <v>922</v>
      </c>
    </row>
    <row r="37">
      <c r="A37" s="49" t="s">
        <v>950</v>
      </c>
      <c r="B37" s="235"/>
      <c r="C37" s="235"/>
      <c r="D37" s="308" t="str">
        <f>if(D34&lt;&gt;"",upCapitalCost,"")</f>
        <v/>
      </c>
      <c r="E37" s="308" t="str">
        <f>if(E34&lt;&gt;"",upCapitalCost,"")</f>
        <v/>
      </c>
      <c r="F37" s="308" t="str">
        <f>if(F34&lt;&gt;"",upCapitalCost,"")</f>
        <v/>
      </c>
      <c r="G37" s="308" t="str">
        <f>if(G34&lt;&gt;"",upCapitalCost,"")</f>
        <v/>
      </c>
      <c r="H37" s="308"/>
      <c r="I37" s="308" t="str">
        <f>if(I34&lt;&gt;"",upCapitalCost,"")</f>
        <v/>
      </c>
      <c r="J37" s="308" t="str">
        <f>if(J34&lt;&gt;"",upCapitalCost,"")</f>
        <v/>
      </c>
      <c r="K37" s="308" t="str">
        <f>if(K34&lt;&gt;"",upCapitalCost,"")</f>
        <v/>
      </c>
      <c r="L37" s="308" t="str">
        <f>if(L34&lt;&gt;"",upCapitalCost,"")</f>
        <v/>
      </c>
      <c r="M37" s="308"/>
      <c r="N37" s="308" t="str">
        <f>if(N34&lt;&gt;"",upCapitalCost,"")</f>
        <v/>
      </c>
      <c r="O37" s="308" t="str">
        <f>if(O34&lt;&gt;"",upCapitalCost,"")</f>
        <v/>
      </c>
      <c r="P37" s="308" t="str">
        <f>if(P34&lt;&gt;"",upCapitalCost,"")</f>
        <v/>
      </c>
      <c r="Q37" s="308" t="str">
        <f>if(Q34&lt;&gt;"",upCapitalCost,"")</f>
        <v/>
      </c>
      <c r="R37" s="308"/>
      <c r="S37" s="308" t="str">
        <f>if(S34&lt;&gt;"",upCapitalCost,"")</f>
        <v/>
      </c>
      <c r="T37" s="308" t="str">
        <f>if(T34&lt;&gt;"",upCapitalCost,"")</f>
        <v/>
      </c>
      <c r="U37" s="308" t="str">
        <f>if(U34&lt;&gt;"",upCapitalCost,"")</f>
        <v/>
      </c>
      <c r="V37" s="308" t="str">
        <f>if(V34&lt;&gt;"",upCapitalCost,"")</f>
        <v/>
      </c>
      <c r="W37" s="308"/>
      <c r="X37" s="312"/>
      <c r="Y37" s="312"/>
      <c r="Z37" s="312"/>
      <c r="AA37" s="312"/>
    </row>
    <row r="38">
      <c r="A38" s="49" t="s">
        <v>951</v>
      </c>
      <c r="B38" s="231"/>
      <c r="C38" s="231"/>
      <c r="D38" s="245" t="str">
        <f>if(D35&lt;&gt;"",UpHeavyCost,"")</f>
        <v/>
      </c>
      <c r="E38" s="245" t="str">
        <f>if(E35&lt;&gt;"",UpHeavyCost,"")</f>
        <v/>
      </c>
      <c r="F38" s="245" t="str">
        <f>if(F35&lt;&gt;"",UpHeavyCost,"")</f>
        <v/>
      </c>
      <c r="G38" s="245" t="str">
        <f>if(G35&lt;&gt;"",UpHeavyCost,"")</f>
        <v/>
      </c>
      <c r="H38" s="245"/>
      <c r="I38" s="245" t="str">
        <f>if(I35&lt;&gt;"",UpHeavyCost,"")</f>
        <v/>
      </c>
      <c r="J38" s="245" t="str">
        <f>if(J35&lt;&gt;"",UpHeavyCost,"")</f>
        <v/>
      </c>
      <c r="K38" s="245" t="str">
        <f>if(K35&lt;&gt;"",UpHeavyCost,"")</f>
        <v/>
      </c>
      <c r="L38" s="245" t="str">
        <f>if(L35&lt;&gt;"",UpHeavyCost,"")</f>
        <v/>
      </c>
      <c r="M38" s="245"/>
      <c r="N38" s="245" t="str">
        <f>if(N35&lt;&gt;"",UpHeavyCost,"")</f>
        <v/>
      </c>
      <c r="O38" s="245" t="str">
        <f>if(O35&lt;&gt;"",UpHeavyCost,"")</f>
        <v/>
      </c>
      <c r="P38" s="245" t="str">
        <f>if(P35&lt;&gt;"",UpHeavyCost,"")</f>
        <v/>
      </c>
      <c r="Q38" s="245" t="str">
        <f>if(Q35&lt;&gt;"",UpHeavyCost,"")</f>
        <v/>
      </c>
      <c r="R38" s="245"/>
      <c r="S38" s="245" t="str">
        <f>if(S35&lt;&gt;"",UpHeavyCost,"")</f>
        <v/>
      </c>
      <c r="T38" s="245" t="str">
        <f>if(T35&lt;&gt;"",UpHeavyCost,"")</f>
        <v/>
      </c>
      <c r="U38" s="245" t="str">
        <f>if(U35&lt;&gt;"",UpHeavyCost,"")</f>
        <v/>
      </c>
      <c r="V38" s="245" t="str">
        <f>if(V35&lt;&gt;"",UpHeavyCost,"")</f>
        <v/>
      </c>
      <c r="W38" s="245"/>
      <c r="X38" s="245" t="str">
        <f>if(X35&lt;&gt;"",upHeavyTurretCost,"")</f>
        <v/>
      </c>
      <c r="Y38" s="245" t="str">
        <f>if(Y35&lt;&gt;"",upHeavyTurretCost,"")</f>
        <v/>
      </c>
      <c r="Z38" s="245" t="str">
        <f>if(Z35&lt;&gt;"",upHeavyTurretCost,"")</f>
        <v/>
      </c>
      <c r="AA38" s="245" t="str">
        <f>if(AA35&lt;&gt;"",upHeavyTurretCost,"")</f>
        <v/>
      </c>
    </row>
    <row r="39">
      <c r="A39" s="49" t="s">
        <v>952</v>
      </c>
      <c r="B39" s="228"/>
      <c r="C39" s="228"/>
      <c r="D39" s="244">
        <f>if(D36&lt;&gt;"",upLightCost,"")</f>
        <v>3</v>
      </c>
      <c r="E39" s="244">
        <f>if(E36&lt;&gt;"",upLightCost,"")</f>
        <v>3</v>
      </c>
      <c r="F39" s="244">
        <f>if(F36&lt;&gt;"",upLightCost,"")</f>
        <v>3</v>
      </c>
      <c r="G39" s="244">
        <f>if(G36&lt;&gt;"",upLightCost,"")</f>
        <v>3</v>
      </c>
      <c r="H39" s="244"/>
      <c r="I39" s="244">
        <f>if(I36&lt;&gt;"",upLightCost,"")</f>
        <v>3</v>
      </c>
      <c r="J39" s="244">
        <f>if(J36&lt;&gt;"",upLightCost,"")</f>
        <v>3</v>
      </c>
      <c r="K39" s="244">
        <f>if(K36&lt;&gt;"",upLightCost,"")</f>
        <v>3</v>
      </c>
      <c r="L39" s="244">
        <f>if(L36&lt;&gt;"",upLightCost,"")</f>
        <v>3</v>
      </c>
      <c r="M39" s="244"/>
      <c r="N39" s="244">
        <f>if(N36&lt;&gt;"",upLightCost,"")</f>
        <v>3</v>
      </c>
      <c r="O39" s="244">
        <f>if(O36&lt;&gt;"",upLightCost,"")</f>
        <v>3</v>
      </c>
      <c r="P39" s="244">
        <f>if(P36&lt;&gt;"",upLightCost,"")</f>
        <v>3</v>
      </c>
      <c r="Q39" s="244">
        <f>if(Q36&lt;&gt;"",upLightCost,"")</f>
        <v>3</v>
      </c>
      <c r="R39" s="244"/>
      <c r="S39" s="244">
        <f>if(S36&lt;&gt;"",upLightCost,"")</f>
        <v>3</v>
      </c>
      <c r="T39" s="244">
        <f>if(T36&lt;&gt;"",upLightCost,"")</f>
        <v>3</v>
      </c>
      <c r="U39" s="244">
        <f>if(U36&lt;&gt;"",upLightCost,"")</f>
        <v>3</v>
      </c>
      <c r="V39" s="244">
        <f>if(V36&lt;&gt;"",upLightCost,"")</f>
        <v>3</v>
      </c>
      <c r="W39" s="244"/>
      <c r="X39" s="244">
        <f>if(X36&lt;&gt;"",upLightTurretCost,"")</f>
        <v>5</v>
      </c>
      <c r="Y39" s="244">
        <f>if(Y36&lt;&gt;"",upLightTurretCost,"")</f>
        <v>5</v>
      </c>
      <c r="Z39" s="244">
        <f>if(Z36&lt;&gt;"",upLightTurretCost,"")</f>
        <v>5</v>
      </c>
      <c r="AA39" s="244">
        <f>if(AA36&lt;&gt;"",upLightTurretCost,"")</f>
        <v>5</v>
      </c>
    </row>
    <row r="40">
      <c r="A40" s="313" t="s">
        <v>953</v>
      </c>
      <c r="B40" s="55"/>
      <c r="C40" s="55"/>
      <c r="D40" s="314" t="str">
        <f t="shared" ref="D40:AA40" si="1">if(D33="","",if(D33=D36,D39,if(D33=D35,sum(D39,D38),if(D33=D34,sum(D37:D39),""))))</f>
        <v/>
      </c>
      <c r="E40" s="314" t="str">
        <f t="shared" si="1"/>
        <v/>
      </c>
      <c r="F40" s="314" t="str">
        <f t="shared" si="1"/>
        <v/>
      </c>
      <c r="G40" s="314" t="str">
        <f t="shared" si="1"/>
        <v/>
      </c>
      <c r="H40" s="314" t="str">
        <f t="shared" si="1"/>
        <v/>
      </c>
      <c r="I40" s="314" t="str">
        <f t="shared" si="1"/>
        <v/>
      </c>
      <c r="J40" s="314" t="str">
        <f t="shared" si="1"/>
        <v/>
      </c>
      <c r="K40" s="314" t="str">
        <f t="shared" si="1"/>
        <v/>
      </c>
      <c r="L40" s="314" t="str">
        <f t="shared" si="1"/>
        <v/>
      </c>
      <c r="M40" s="314" t="str">
        <f t="shared" si="1"/>
        <v/>
      </c>
      <c r="N40" s="314" t="str">
        <f t="shared" si="1"/>
        <v/>
      </c>
      <c r="O40" s="314" t="str">
        <f t="shared" si="1"/>
        <v/>
      </c>
      <c r="P40" s="314" t="str">
        <f t="shared" si="1"/>
        <v/>
      </c>
      <c r="Q40" s="314" t="str">
        <f t="shared" si="1"/>
        <v/>
      </c>
      <c r="R40" s="314" t="str">
        <f t="shared" si="1"/>
        <v/>
      </c>
      <c r="S40" s="314" t="str">
        <f t="shared" si="1"/>
        <v/>
      </c>
      <c r="T40" s="314" t="str">
        <f t="shared" si="1"/>
        <v/>
      </c>
      <c r="U40" s="314" t="str">
        <f t="shared" si="1"/>
        <v/>
      </c>
      <c r="V40" s="314" t="str">
        <f t="shared" si="1"/>
        <v/>
      </c>
      <c r="W40" s="314" t="str">
        <f t="shared" si="1"/>
        <v/>
      </c>
      <c r="X40" s="314" t="str">
        <f t="shared" si="1"/>
        <v/>
      </c>
      <c r="Y40" s="314" t="str">
        <f t="shared" si="1"/>
        <v/>
      </c>
      <c r="Z40" s="314" t="str">
        <f t="shared" si="1"/>
        <v/>
      </c>
      <c r="AA40" s="314" t="str">
        <f t="shared" si="1"/>
        <v/>
      </c>
    </row>
    <row r="41">
      <c r="A41" s="49" t="s">
        <v>954</v>
      </c>
      <c r="B41" s="315"/>
      <c r="C41" s="316" t="str">
        <f t="array" ref="C41:AA41">transpose(Build!I82:I106)</f>
        <v>DAMAGE</v>
      </c>
      <c r="D41" s="316" t="s">
        <v>177</v>
      </c>
      <c r="E41" s="316" t="s">
        <v>177</v>
      </c>
      <c r="F41" s="316" t="s">
        <v>177</v>
      </c>
      <c r="G41" s="316" t="s">
        <v>177</v>
      </c>
      <c r="H41" s="316" t="s">
        <v>231</v>
      </c>
      <c r="I41" s="316" t="s">
        <v>177</v>
      </c>
      <c r="J41" s="316" t="s">
        <v>177</v>
      </c>
      <c r="K41" s="316" t="s">
        <v>177</v>
      </c>
      <c r="L41" s="316" t="s">
        <v>177</v>
      </c>
      <c r="M41" s="316" t="s">
        <v>231</v>
      </c>
      <c r="N41" s="316" t="s">
        <v>177</v>
      </c>
      <c r="O41" s="316" t="s">
        <v>177</v>
      </c>
      <c r="P41" s="316" t="s">
        <v>177</v>
      </c>
      <c r="Q41" s="316" t="s">
        <v>177</v>
      </c>
      <c r="R41" s="316" t="s">
        <v>231</v>
      </c>
      <c r="S41" s="316" t="s">
        <v>177</v>
      </c>
      <c r="T41" s="316" t="s">
        <v>177</v>
      </c>
      <c r="U41" s="316" t="s">
        <v>177</v>
      </c>
      <c r="V41" s="316" t="s">
        <v>177</v>
      </c>
      <c r="W41" s="316" t="s">
        <v>231</v>
      </c>
      <c r="X41" s="316" t="s">
        <v>177</v>
      </c>
      <c r="Y41" s="316" t="s">
        <v>177</v>
      </c>
      <c r="Z41" s="316" t="s">
        <v>177</v>
      </c>
      <c r="AA41" s="316" t="s">
        <v>177</v>
      </c>
    </row>
    <row r="42">
      <c r="B42" s="315"/>
      <c r="D42" s="317" t="str">
        <f t="array" ref="D42:AA42">transpose(weaponsWlink)</f>
        <v/>
      </c>
      <c r="E42" s="317"/>
      <c r="F42" s="317"/>
      <c r="G42" s="317"/>
      <c r="H42" s="318"/>
      <c r="I42" s="317"/>
      <c r="J42" s="317"/>
      <c r="K42" s="317"/>
      <c r="L42" s="317"/>
      <c r="M42" s="318"/>
      <c r="N42" s="317"/>
      <c r="O42" s="317"/>
      <c r="P42" s="317"/>
      <c r="Q42" s="317"/>
      <c r="R42" s="318"/>
      <c r="S42" s="317"/>
      <c r="T42" s="317"/>
      <c r="U42" s="317"/>
      <c r="V42" s="317"/>
      <c r="W42" s="318"/>
      <c r="X42" s="317"/>
      <c r="Y42" s="317"/>
      <c r="Z42" s="317"/>
      <c r="AA42" s="317"/>
    </row>
    <row r="43">
      <c r="A43" s="257" t="s">
        <v>955</v>
      </c>
      <c r="B43" s="315"/>
      <c r="C43" s="315"/>
      <c r="D43" s="319" t="str">
        <f t="shared" ref="D43:AA43" si="2">IF(D42="micromissile battery (slot 1/2)","micromissile battery",if(D42="micromissile battery (slot 2/2)","",if(D42="heavy laser array (slot 1/2)","heavy laser array",if(D42="heavy laser array (slot 2/2)","",D42))))</f>
        <v/>
      </c>
      <c r="E43" s="319" t="str">
        <f t="shared" si="2"/>
        <v/>
      </c>
      <c r="F43" s="319" t="str">
        <f t="shared" si="2"/>
        <v/>
      </c>
      <c r="G43" s="319" t="str">
        <f t="shared" si="2"/>
        <v/>
      </c>
      <c r="H43" s="315" t="str">
        <f t="shared" si="2"/>
        <v/>
      </c>
      <c r="I43" s="319" t="str">
        <f t="shared" si="2"/>
        <v/>
      </c>
      <c r="J43" s="319" t="str">
        <f t="shared" si="2"/>
        <v/>
      </c>
      <c r="K43" s="319" t="str">
        <f t="shared" si="2"/>
        <v/>
      </c>
      <c r="L43" s="319" t="str">
        <f t="shared" si="2"/>
        <v/>
      </c>
      <c r="M43" s="315" t="str">
        <f t="shared" si="2"/>
        <v/>
      </c>
      <c r="N43" s="319" t="str">
        <f t="shared" si="2"/>
        <v/>
      </c>
      <c r="O43" s="319" t="str">
        <f t="shared" si="2"/>
        <v/>
      </c>
      <c r="P43" s="319" t="str">
        <f t="shared" si="2"/>
        <v/>
      </c>
      <c r="Q43" s="319" t="str">
        <f t="shared" si="2"/>
        <v/>
      </c>
      <c r="R43" s="315" t="str">
        <f t="shared" si="2"/>
        <v/>
      </c>
      <c r="S43" s="319" t="str">
        <f t="shared" si="2"/>
        <v/>
      </c>
      <c r="T43" s="319" t="str">
        <f t="shared" si="2"/>
        <v/>
      </c>
      <c r="U43" s="319" t="str">
        <f t="shared" si="2"/>
        <v/>
      </c>
      <c r="V43" s="319" t="str">
        <f t="shared" si="2"/>
        <v/>
      </c>
      <c r="W43" s="315" t="str">
        <f t="shared" si="2"/>
        <v/>
      </c>
      <c r="X43" s="319" t="str">
        <f t="shared" si="2"/>
        <v/>
      </c>
      <c r="Y43" s="319" t="str">
        <f t="shared" si="2"/>
        <v/>
      </c>
      <c r="Z43" s="319" t="str">
        <f t="shared" si="2"/>
        <v/>
      </c>
      <c r="AA43" s="319" t="str">
        <f t="shared" si="2"/>
        <v/>
      </c>
    </row>
    <row r="44">
      <c r="A44" s="257" t="s">
        <v>956</v>
      </c>
      <c r="B44" s="315"/>
      <c r="C44" s="315"/>
      <c r="D44" s="320" t="str">
        <f t="shared" ref="D44:AA44" si="3">if(D43&lt;&gt;"",D43&amp;" ("&amp;D41&amp;")","")</f>
        <v/>
      </c>
      <c r="E44" s="320" t="str">
        <f t="shared" si="3"/>
        <v/>
      </c>
      <c r="F44" s="320" t="str">
        <f t="shared" si="3"/>
        <v/>
      </c>
      <c r="G44" s="320" t="str">
        <f t="shared" si="3"/>
        <v/>
      </c>
      <c r="H44" s="320" t="str">
        <f t="shared" si="3"/>
        <v/>
      </c>
      <c r="I44" s="320" t="str">
        <f t="shared" si="3"/>
        <v/>
      </c>
      <c r="J44" s="320" t="str">
        <f t="shared" si="3"/>
        <v/>
      </c>
      <c r="K44" s="320" t="str">
        <f t="shared" si="3"/>
        <v/>
      </c>
      <c r="L44" s="320" t="str">
        <f t="shared" si="3"/>
        <v/>
      </c>
      <c r="M44" s="320" t="str">
        <f t="shared" si="3"/>
        <v/>
      </c>
      <c r="N44" s="320" t="str">
        <f t="shared" si="3"/>
        <v/>
      </c>
      <c r="O44" s="320" t="str">
        <f t="shared" si="3"/>
        <v/>
      </c>
      <c r="P44" s="320" t="str">
        <f t="shared" si="3"/>
        <v/>
      </c>
      <c r="Q44" s="320" t="str">
        <f t="shared" si="3"/>
        <v/>
      </c>
      <c r="R44" s="320" t="str">
        <f t="shared" si="3"/>
        <v/>
      </c>
      <c r="S44" s="320" t="str">
        <f t="shared" si="3"/>
        <v/>
      </c>
      <c r="T44" s="320" t="str">
        <f t="shared" si="3"/>
        <v/>
      </c>
      <c r="U44" s="320" t="str">
        <f t="shared" si="3"/>
        <v/>
      </c>
      <c r="V44" s="320" t="str">
        <f t="shared" si="3"/>
        <v/>
      </c>
      <c r="W44" s="320" t="str">
        <f t="shared" si="3"/>
        <v/>
      </c>
      <c r="X44" s="320" t="str">
        <f t="shared" si="3"/>
        <v/>
      </c>
      <c r="Y44" s="320" t="str">
        <f t="shared" si="3"/>
        <v/>
      </c>
      <c r="Z44" s="320" t="str">
        <f t="shared" si="3"/>
        <v/>
      </c>
      <c r="AA44" s="320" t="str">
        <f t="shared" si="3"/>
        <v/>
      </c>
    </row>
    <row r="45">
      <c r="A45" s="64"/>
      <c r="B45" s="64"/>
      <c r="C45" s="321" t="s">
        <v>957</v>
      </c>
      <c r="D45" s="321" t="s">
        <v>958</v>
      </c>
      <c r="E45" s="321" t="s">
        <v>959</v>
      </c>
      <c r="F45" s="321" t="s">
        <v>960</v>
      </c>
      <c r="G45" s="321" t="s">
        <v>961</v>
      </c>
      <c r="H45" s="321" t="s">
        <v>962</v>
      </c>
      <c r="I45" s="322" t="s">
        <v>963</v>
      </c>
      <c r="J45" s="321"/>
      <c r="K45" s="323"/>
      <c r="L45" s="323"/>
      <c r="M45" s="323"/>
      <c r="N45" s="323"/>
      <c r="O45" s="323"/>
      <c r="P45" s="323"/>
      <c r="Q45" s="323"/>
      <c r="R45" s="323"/>
      <c r="S45" s="324" t="s">
        <v>39</v>
      </c>
      <c r="T45" s="321" t="s">
        <v>964</v>
      </c>
      <c r="U45" s="321" t="s">
        <v>965</v>
      </c>
      <c r="V45" s="321" t="s">
        <v>966</v>
      </c>
      <c r="W45" s="323"/>
      <c r="X45" s="323"/>
      <c r="Y45" s="321"/>
      <c r="Z45" s="323"/>
      <c r="AA45" s="321" t="s">
        <v>967</v>
      </c>
    </row>
    <row r="46">
      <c r="A46" s="49" t="s">
        <v>968</v>
      </c>
      <c r="B46" s="325"/>
      <c r="C46" s="326" t="str">
        <f>Sensor</f>
        <v/>
      </c>
      <c r="D46" s="327" t="str">
        <f>Crew</f>
        <v/>
      </c>
      <c r="E46" s="326" t="str">
        <f>Armor</f>
        <v/>
      </c>
      <c r="F46" s="327" t="str">
        <f>DefCounter</f>
        <v/>
      </c>
      <c r="G46" s="328" t="str">
        <f>ICM&amp;IF(Tier&lt;&gt;""," (tier "&amp;Tier&amp;")","")</f>
        <v/>
      </c>
      <c r="H46" s="325" t="str">
        <f>IFERROR(__xludf.DUMMYFUNCTION("iferror(""security (""&amp;join("", "", FILTER(sort(Security), NOT(Security = """")))&amp;"")"","""")"),"")</f>
        <v/>
      </c>
      <c r="I46" s="325" t="str">
        <f>IFERROR(__xludf.DUMMYFUNCTION("iferror(""countermeasures (""&amp;join("", "", FILTER(sort(ComCounterAll), NOT(ComCounterAll = """")))&amp;"")"","""")"),"")</f>
        <v/>
      </c>
      <c r="J46" s="328"/>
      <c r="K46" s="328"/>
      <c r="L46" s="328"/>
      <c r="M46" s="328"/>
      <c r="N46" s="328"/>
      <c r="O46" s="328"/>
      <c r="P46" s="328"/>
      <c r="Q46" s="328"/>
      <c r="R46" s="329"/>
      <c r="S46" s="49" t="s">
        <v>969</v>
      </c>
      <c r="T46" s="330">
        <f>ICMbonus</f>
        <v>0</v>
      </c>
      <c r="U46" s="330" t="str">
        <f>if(SensorModCompy&lt;&gt;0,SensorModCompy&amp;" Computers","")</f>
        <v/>
      </c>
      <c r="V46" s="331" t="str">
        <f>IF((FramePilotBonus+ThrusterPilotBonus)&gt;0,"+","")&amp;FramePilotBonus+ThrusterPilotBonus&amp;" Piloting"</f>
        <v>0 Piloting</v>
      </c>
      <c r="W46" s="330"/>
      <c r="X46" s="315"/>
      <c r="Y46" s="332"/>
      <c r="Z46" s="315"/>
      <c r="AA46" s="316">
        <f>TLbonus+ArmorTL</f>
        <v>0</v>
      </c>
    </row>
    <row r="47">
      <c r="A47" s="333"/>
      <c r="B47" s="334" t="s">
        <v>970</v>
      </c>
      <c r="C47" s="335"/>
      <c r="D47" s="334" t="s">
        <v>966</v>
      </c>
      <c r="E47" s="336" t="s">
        <v>971</v>
      </c>
      <c r="F47" s="334" t="s">
        <v>972</v>
      </c>
      <c r="G47" s="334" t="s">
        <v>973</v>
      </c>
      <c r="H47" s="337"/>
      <c r="I47" s="335"/>
      <c r="J47" s="334"/>
      <c r="K47" s="337"/>
      <c r="L47" s="335"/>
      <c r="M47" s="334"/>
      <c r="N47" s="337"/>
      <c r="O47" s="335"/>
      <c r="P47" s="334"/>
      <c r="Q47" s="338"/>
      <c r="R47" s="338"/>
      <c r="S47" s="338"/>
      <c r="T47" s="338"/>
      <c r="U47" s="338"/>
      <c r="V47" s="338"/>
      <c r="W47" s="338"/>
      <c r="X47" s="338"/>
      <c r="Y47" s="338"/>
      <c r="Z47" s="338"/>
      <c r="AA47" s="338"/>
    </row>
    <row r="48">
      <c r="A48" s="49" t="s">
        <v>974</v>
      </c>
      <c r="B48" s="339">
        <f t="shared" ref="B48:B49" si="4">sum(C48:G48)</f>
        <v>10</v>
      </c>
      <c r="C48" s="340">
        <v>10.0</v>
      </c>
      <c r="D48" s="340" t="str">
        <f>PilotBonus</f>
        <v/>
      </c>
      <c r="E48" s="339">
        <f>ArmorBonus</f>
        <v>0</v>
      </c>
      <c r="F48" s="339" t="str">
        <f>SizeBonus</f>
        <v/>
      </c>
      <c r="G48" s="339" t="str">
        <f>ACmiscMod</f>
        <v/>
      </c>
      <c r="H48" s="315"/>
      <c r="I48" s="341"/>
      <c r="L48" s="341"/>
      <c r="O48" s="341"/>
      <c r="R48" s="341"/>
      <c r="U48" s="341"/>
      <c r="V48" s="341"/>
      <c r="W48" s="341"/>
      <c r="X48" s="341"/>
      <c r="Y48" s="341"/>
      <c r="Z48" s="341"/>
      <c r="AA48" s="341"/>
    </row>
    <row r="49">
      <c r="A49" s="49" t="s">
        <v>975</v>
      </c>
      <c r="B49" s="339">
        <f t="shared" si="4"/>
        <v>10</v>
      </c>
      <c r="C49" s="340">
        <v>10.0</v>
      </c>
      <c r="D49" s="340" t="str">
        <f>PilotBonus</f>
        <v/>
      </c>
      <c r="E49" s="339">
        <f>Countermeasures</f>
        <v>0</v>
      </c>
      <c r="F49" s="339" t="str">
        <f>SizeBonus</f>
        <v/>
      </c>
      <c r="G49" s="339" t="str">
        <f>TLmiscMod</f>
        <v/>
      </c>
      <c r="H49" s="315"/>
      <c r="I49" s="341"/>
      <c r="L49" s="341"/>
      <c r="O49" s="341"/>
      <c r="R49" s="341"/>
      <c r="U49" s="341"/>
      <c r="V49" s="341"/>
      <c r="W49" s="341"/>
      <c r="X49" s="341"/>
      <c r="Y49" s="341"/>
      <c r="Z49" s="341"/>
      <c r="AA49" s="341"/>
    </row>
  </sheetData>
  <drawing r:id="rId2"/>
  <legacyDrawing r:id="rId3"/>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8.29"/>
    <col customWidth="1" min="2" max="2" width="3.29"/>
  </cols>
  <sheetData>
    <row r="1">
      <c r="A1" s="86" t="s">
        <v>11</v>
      </c>
      <c r="B1" s="86" t="s">
        <v>696</v>
      </c>
    </row>
    <row r="2">
      <c r="A2" s="55" t="s">
        <v>697</v>
      </c>
      <c r="B2" s="55">
        <v>4.0</v>
      </c>
    </row>
    <row r="3">
      <c r="A3" s="55" t="s">
        <v>698</v>
      </c>
      <c r="B3" s="55">
        <v>3.0</v>
      </c>
    </row>
    <row r="4">
      <c r="A4" s="55" t="s">
        <v>699</v>
      </c>
      <c r="B4" s="55">
        <v>2.0</v>
      </c>
    </row>
    <row r="5">
      <c r="A5" s="55" t="s">
        <v>700</v>
      </c>
      <c r="B5" s="55">
        <v>1.0</v>
      </c>
    </row>
    <row r="6">
      <c r="A6" s="55" t="s">
        <v>701</v>
      </c>
      <c r="B6" s="55">
        <v>0.0</v>
      </c>
    </row>
    <row r="7">
      <c r="A7" s="64"/>
      <c r="B7" s="64"/>
    </row>
    <row r="8">
      <c r="A8" s="64" t="str">
        <f t="array" ref="A8">iferror(if((FrameTurn+ArmorTurn)&lt;=4,index(A2:A6,match(FrameTurn+ArmorTurn,B2:B6,0)),"clumsy")&amp;" (turn "&amp;(FrameTurn+ArmorTurn)&amp;")","")</f>
        <v>Perfect (turn 0)</v>
      </c>
      <c r="B8" s="64"/>
    </row>
  </sheetData>
  <drawing r:id="rId2"/>
  <legacyDrawing r:id="rId3"/>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4.43" defaultRowHeight="15.75"/>
  <cols>
    <col customWidth="1" min="1" max="1" width="7.29"/>
    <col customWidth="1" min="2" max="2" width="8.43"/>
    <col customWidth="1" min="3" max="3" width="31.0"/>
    <col customWidth="1" min="4" max="4" width="8.0"/>
    <col customWidth="1" min="5" max="5" width="5.57"/>
    <col customWidth="1" min="6" max="6" width="3.29"/>
    <col customWidth="1" min="7" max="7" width="7.71"/>
    <col customWidth="1" min="8" max="8" width="8.57"/>
    <col customWidth="1" min="9" max="10" width="3.43"/>
    <col customWidth="1" min="11" max="11" width="28.29"/>
    <col customWidth="1" min="12" max="12" width="5.57"/>
  </cols>
  <sheetData>
    <row r="1" ht="68.25" customHeight="1">
      <c r="A1" s="53" t="s">
        <v>702</v>
      </c>
      <c r="B1" s="53" t="s">
        <v>703</v>
      </c>
      <c r="C1" s="53" t="s">
        <v>704</v>
      </c>
      <c r="D1" s="53" t="s">
        <v>449</v>
      </c>
      <c r="E1" s="53" t="s">
        <v>110</v>
      </c>
      <c r="F1" s="53" t="s">
        <v>705</v>
      </c>
      <c r="G1" s="53" t="s">
        <v>706</v>
      </c>
      <c r="H1" s="53" t="s">
        <v>707</v>
      </c>
      <c r="I1" s="53" t="s">
        <v>119</v>
      </c>
      <c r="J1" s="53" t="s">
        <v>56</v>
      </c>
      <c r="K1" s="53" t="s">
        <v>708</v>
      </c>
      <c r="L1" s="53" t="s">
        <v>709</v>
      </c>
    </row>
    <row r="2">
      <c r="A2" s="228" t="s">
        <v>710</v>
      </c>
      <c r="B2" s="228" t="s">
        <v>711</v>
      </c>
      <c r="C2" s="228" t="s">
        <v>712</v>
      </c>
      <c r="D2" s="228" t="s">
        <v>452</v>
      </c>
      <c r="E2" s="228" t="s">
        <v>57</v>
      </c>
      <c r="F2" s="228">
        <v>6.0</v>
      </c>
      <c r="G2" s="228" t="s">
        <v>713</v>
      </c>
      <c r="H2" s="228" t="s">
        <v>714</v>
      </c>
      <c r="I2" s="228">
        <v>15.0</v>
      </c>
      <c r="J2" s="228">
        <v>15.0</v>
      </c>
      <c r="K2" s="228" t="s">
        <v>715</v>
      </c>
      <c r="L2" s="228">
        <v>1.0</v>
      </c>
    </row>
    <row r="3">
      <c r="A3" s="228" t="s">
        <v>710</v>
      </c>
      <c r="B3" s="228" t="s">
        <v>711</v>
      </c>
      <c r="C3" s="228" t="s">
        <v>716</v>
      </c>
      <c r="D3" s="228" t="s">
        <v>463</v>
      </c>
      <c r="E3" s="228" t="s">
        <v>57</v>
      </c>
      <c r="F3" s="228">
        <v>4.0</v>
      </c>
      <c r="G3" s="228" t="s">
        <v>713</v>
      </c>
      <c r="H3" s="228" t="s">
        <v>717</v>
      </c>
      <c r="I3" s="228">
        <v>10.0</v>
      </c>
      <c r="J3" s="228">
        <v>6.0</v>
      </c>
      <c r="K3" s="228" t="s">
        <v>57</v>
      </c>
      <c r="L3" s="228">
        <v>1.0</v>
      </c>
    </row>
    <row r="4">
      <c r="A4" s="228" t="s">
        <v>710</v>
      </c>
      <c r="B4" s="228" t="s">
        <v>711</v>
      </c>
      <c r="C4" s="228" t="s">
        <v>718</v>
      </c>
      <c r="D4" s="228" t="s">
        <v>452</v>
      </c>
      <c r="E4" s="228" t="s">
        <v>57</v>
      </c>
      <c r="F4" s="228">
        <v>3.0</v>
      </c>
      <c r="G4" s="228" t="s">
        <v>713</v>
      </c>
      <c r="H4" s="228" t="s">
        <v>719</v>
      </c>
      <c r="I4" s="228">
        <v>10.0</v>
      </c>
      <c r="J4" s="228">
        <v>5.0</v>
      </c>
      <c r="K4" s="228" t="s">
        <v>720</v>
      </c>
      <c r="L4" s="228">
        <v>1.0</v>
      </c>
    </row>
    <row r="5">
      <c r="A5" s="228" t="s">
        <v>710</v>
      </c>
      <c r="B5" s="228" t="s">
        <v>711</v>
      </c>
      <c r="C5" s="228" t="s">
        <v>721</v>
      </c>
      <c r="D5" s="228" t="s">
        <v>452</v>
      </c>
      <c r="E5" s="228" t="s">
        <v>57</v>
      </c>
      <c r="F5" s="228">
        <v>1.0</v>
      </c>
      <c r="G5" s="228" t="s">
        <v>722</v>
      </c>
      <c r="H5" s="228" t="s">
        <v>723</v>
      </c>
      <c r="I5" s="228">
        <v>10.0</v>
      </c>
      <c r="J5" s="228">
        <v>3.0</v>
      </c>
      <c r="K5" s="228" t="s">
        <v>724</v>
      </c>
      <c r="L5" s="228">
        <v>1.0</v>
      </c>
    </row>
    <row r="6">
      <c r="A6" s="228" t="s">
        <v>710</v>
      </c>
      <c r="B6" s="228" t="s">
        <v>711</v>
      </c>
      <c r="C6" s="228" t="s">
        <v>725</v>
      </c>
      <c r="D6" s="228" t="s">
        <v>452</v>
      </c>
      <c r="E6" s="228" t="s">
        <v>57</v>
      </c>
      <c r="F6" s="228">
        <v>2.0</v>
      </c>
      <c r="G6" s="228" t="s">
        <v>726</v>
      </c>
      <c r="H6" s="228" t="s">
        <v>727</v>
      </c>
      <c r="I6" s="228">
        <v>10.0</v>
      </c>
      <c r="J6" s="228">
        <v>9.0</v>
      </c>
      <c r="K6" s="228" t="s">
        <v>728</v>
      </c>
      <c r="L6" s="228">
        <v>1.0</v>
      </c>
    </row>
    <row r="7">
      <c r="A7" s="228" t="s">
        <v>710</v>
      </c>
      <c r="B7" s="228" t="s">
        <v>711</v>
      </c>
      <c r="C7" s="228" t="s">
        <v>729</v>
      </c>
      <c r="D7" s="228" t="s">
        <v>452</v>
      </c>
      <c r="E7" s="228" t="s">
        <v>57</v>
      </c>
      <c r="F7" s="228"/>
      <c r="G7" s="228" t="s">
        <v>730</v>
      </c>
      <c r="H7" s="228" t="s">
        <v>52</v>
      </c>
      <c r="I7" s="228">
        <v>10.0</v>
      </c>
      <c r="J7" s="228">
        <v>8.0</v>
      </c>
      <c r="K7" s="228" t="s">
        <v>731</v>
      </c>
      <c r="L7" s="228">
        <v>1.0</v>
      </c>
    </row>
    <row r="8">
      <c r="A8" s="228" t="s">
        <v>710</v>
      </c>
      <c r="B8" s="228" t="s">
        <v>711</v>
      </c>
      <c r="C8" s="228" t="s">
        <v>732</v>
      </c>
      <c r="D8" s="228" t="s">
        <v>452</v>
      </c>
      <c r="E8" s="228" t="s">
        <v>57</v>
      </c>
      <c r="F8" s="228">
        <v>2.0</v>
      </c>
      <c r="G8" s="228" t="s">
        <v>713</v>
      </c>
      <c r="H8" s="228" t="s">
        <v>733</v>
      </c>
      <c r="I8" s="228">
        <v>5.0</v>
      </c>
      <c r="J8" s="228">
        <v>2.0</v>
      </c>
      <c r="K8" s="228" t="s">
        <v>57</v>
      </c>
      <c r="L8" s="228">
        <v>1.0</v>
      </c>
    </row>
    <row r="9">
      <c r="A9" s="228" t="s">
        <v>710</v>
      </c>
      <c r="B9" s="228" t="s">
        <v>711</v>
      </c>
      <c r="C9" s="228" t="s">
        <v>734</v>
      </c>
      <c r="D9" s="228" t="s">
        <v>162</v>
      </c>
      <c r="E9" s="228" t="s">
        <v>57</v>
      </c>
      <c r="F9" s="228">
        <v>3.0</v>
      </c>
      <c r="G9" s="228" t="s">
        <v>726</v>
      </c>
      <c r="H9" s="228" t="s">
        <v>735</v>
      </c>
      <c r="I9" s="228">
        <v>10.0</v>
      </c>
      <c r="J9" s="228">
        <v>10.0</v>
      </c>
      <c r="K9" s="228" t="s">
        <v>57</v>
      </c>
      <c r="L9" s="228">
        <v>1.0</v>
      </c>
    </row>
    <row r="10">
      <c r="A10" s="228" t="s">
        <v>710</v>
      </c>
      <c r="B10" s="228" t="s">
        <v>711</v>
      </c>
      <c r="C10" s="228" t="s">
        <v>736</v>
      </c>
      <c r="D10" s="228" t="s">
        <v>452</v>
      </c>
      <c r="E10" s="228" t="s">
        <v>57</v>
      </c>
      <c r="F10" s="228">
        <v>2.0</v>
      </c>
      <c r="G10" s="228" t="s">
        <v>737</v>
      </c>
      <c r="H10" s="228" t="s">
        <v>738</v>
      </c>
      <c r="I10" s="228">
        <v>10.0</v>
      </c>
      <c r="J10" s="228">
        <v>12.0</v>
      </c>
      <c r="K10" s="228" t="s">
        <v>57</v>
      </c>
      <c r="L10" s="228">
        <v>1.0</v>
      </c>
    </row>
    <row r="11">
      <c r="A11" s="230" t="s">
        <v>710</v>
      </c>
      <c r="B11" s="230" t="s">
        <v>739</v>
      </c>
      <c r="C11" s="230" t="s">
        <v>740</v>
      </c>
      <c r="D11" s="230" t="s">
        <v>463</v>
      </c>
      <c r="E11" s="230">
        <v>12.0</v>
      </c>
      <c r="F11" s="230">
        <v>4.0</v>
      </c>
      <c r="G11" s="230" t="s">
        <v>722</v>
      </c>
      <c r="H11" s="230" t="s">
        <v>741</v>
      </c>
      <c r="I11" s="230">
        <v>10.0</v>
      </c>
      <c r="J11" s="230">
        <v>4.0</v>
      </c>
      <c r="K11" s="230" t="s">
        <v>742</v>
      </c>
      <c r="L11" s="230">
        <v>1.0</v>
      </c>
    </row>
    <row r="12">
      <c r="A12" s="230" t="s">
        <v>710</v>
      </c>
      <c r="B12" s="230" t="s">
        <v>739</v>
      </c>
      <c r="C12" s="230" t="s">
        <v>743</v>
      </c>
      <c r="D12" s="230" t="s">
        <v>463</v>
      </c>
      <c r="E12" s="230">
        <v>14.0</v>
      </c>
      <c r="F12" s="230">
        <v>3.0</v>
      </c>
      <c r="G12" s="230" t="s">
        <v>722</v>
      </c>
      <c r="H12" s="230" t="s">
        <v>744</v>
      </c>
      <c r="I12" s="230">
        <v>5.0</v>
      </c>
      <c r="J12" s="230">
        <v>5.0</v>
      </c>
      <c r="K12" s="230" t="s">
        <v>742</v>
      </c>
      <c r="L12" s="230">
        <v>1.0</v>
      </c>
    </row>
    <row r="13">
      <c r="A13" s="230" t="s">
        <v>710</v>
      </c>
      <c r="B13" s="230" t="s">
        <v>739</v>
      </c>
      <c r="C13" s="230" t="s">
        <v>745</v>
      </c>
      <c r="D13" s="230" t="s">
        <v>463</v>
      </c>
      <c r="E13" s="230">
        <v>16.0</v>
      </c>
      <c r="F13" s="230">
        <v>2.0</v>
      </c>
      <c r="G13" s="230" t="s">
        <v>722</v>
      </c>
      <c r="H13" s="230" t="s">
        <v>746</v>
      </c>
      <c r="I13" s="230">
        <v>5.0</v>
      </c>
      <c r="J13" s="230">
        <v>4.0</v>
      </c>
      <c r="K13" s="230" t="s">
        <v>57</v>
      </c>
      <c r="L13" s="230">
        <v>1.0</v>
      </c>
    </row>
    <row r="14">
      <c r="A14" s="230" t="s">
        <v>710</v>
      </c>
      <c r="B14" s="230" t="s">
        <v>739</v>
      </c>
      <c r="C14" s="230" t="s">
        <v>747</v>
      </c>
      <c r="D14" s="230" t="s">
        <v>463</v>
      </c>
      <c r="E14" s="230">
        <v>10.0</v>
      </c>
      <c r="F14" s="230">
        <v>2.0</v>
      </c>
      <c r="G14" s="230" t="s">
        <v>726</v>
      </c>
      <c r="H14" s="230" t="s">
        <v>727</v>
      </c>
      <c r="I14" s="230">
        <v>10.0</v>
      </c>
      <c r="J14" s="230">
        <v>3.0</v>
      </c>
      <c r="K14" s="230" t="s">
        <v>748</v>
      </c>
      <c r="L14" s="230">
        <v>2.0</v>
      </c>
    </row>
    <row r="15">
      <c r="A15" s="230" t="s">
        <v>710</v>
      </c>
      <c r="B15" s="230" t="s">
        <v>739</v>
      </c>
      <c r="C15" s="230" t="s">
        <v>749</v>
      </c>
      <c r="D15" s="230" t="s">
        <v>463</v>
      </c>
      <c r="E15" s="230">
        <v>10.0</v>
      </c>
      <c r="F15" s="230">
        <v>5.0</v>
      </c>
      <c r="G15" s="230" t="s">
        <v>722</v>
      </c>
      <c r="H15" s="230" t="s">
        <v>750</v>
      </c>
      <c r="I15" s="230">
        <v>10.0</v>
      </c>
      <c r="J15" s="230">
        <v>5.0</v>
      </c>
      <c r="K15" s="230" t="s">
        <v>751</v>
      </c>
      <c r="L15" s="230">
        <v>1.0</v>
      </c>
    </row>
    <row r="16">
      <c r="A16" s="143" t="s">
        <v>752</v>
      </c>
      <c r="B16" s="143" t="s">
        <v>711</v>
      </c>
      <c r="C16" s="143" t="s">
        <v>753</v>
      </c>
      <c r="D16" s="143" t="s">
        <v>452</v>
      </c>
      <c r="E16" s="143" t="s">
        <v>57</v>
      </c>
      <c r="F16" s="143">
        <v>7.0</v>
      </c>
      <c r="G16" s="143" t="s">
        <v>754</v>
      </c>
      <c r="H16" s="143" t="s">
        <v>755</v>
      </c>
      <c r="I16" s="143">
        <v>40.0</v>
      </c>
      <c r="J16" s="143">
        <v>35.0</v>
      </c>
      <c r="K16" s="143" t="s">
        <v>756</v>
      </c>
      <c r="L16" s="143">
        <v>1.0</v>
      </c>
    </row>
    <row r="17">
      <c r="A17" s="143" t="s">
        <v>752</v>
      </c>
      <c r="B17" s="143" t="s">
        <v>711</v>
      </c>
      <c r="C17" s="143" t="s">
        <v>757</v>
      </c>
      <c r="D17" s="143" t="s">
        <v>162</v>
      </c>
      <c r="E17" s="143" t="s">
        <v>57</v>
      </c>
      <c r="F17" s="143">
        <v>6.0</v>
      </c>
      <c r="G17" s="143" t="s">
        <v>726</v>
      </c>
      <c r="H17" s="143" t="s">
        <v>758</v>
      </c>
      <c r="I17" s="143">
        <v>40.0</v>
      </c>
      <c r="J17" s="143">
        <v>30.0</v>
      </c>
      <c r="K17" s="143" t="s">
        <v>759</v>
      </c>
      <c r="L17" s="143">
        <v>1.0</v>
      </c>
    </row>
    <row r="18">
      <c r="A18" s="143" t="s">
        <v>752</v>
      </c>
      <c r="B18" s="143" t="s">
        <v>711</v>
      </c>
      <c r="C18" s="143" t="s">
        <v>760</v>
      </c>
      <c r="D18" s="143" t="s">
        <v>162</v>
      </c>
      <c r="E18" s="143" t="s">
        <v>57</v>
      </c>
      <c r="F18" s="143"/>
      <c r="G18" s="143" t="s">
        <v>730</v>
      </c>
      <c r="H18" s="143" t="s">
        <v>52</v>
      </c>
      <c r="I18" s="143">
        <v>30.0</v>
      </c>
      <c r="J18" s="143">
        <v>24.0</v>
      </c>
      <c r="K18" s="143" t="s">
        <v>731</v>
      </c>
      <c r="L18" s="143">
        <v>1.0</v>
      </c>
    </row>
    <row r="19">
      <c r="A19" s="143" t="s">
        <v>752</v>
      </c>
      <c r="B19" s="143" t="s">
        <v>711</v>
      </c>
      <c r="C19" s="143" t="s">
        <v>761</v>
      </c>
      <c r="D19" s="143" t="s">
        <v>452</v>
      </c>
      <c r="E19" s="143" t="s">
        <v>57</v>
      </c>
      <c r="F19" s="143">
        <v>6.0</v>
      </c>
      <c r="G19" s="143" t="s">
        <v>713</v>
      </c>
      <c r="H19" s="143" t="s">
        <v>714</v>
      </c>
      <c r="I19" s="143">
        <v>15.0</v>
      </c>
      <c r="J19" s="143">
        <v>10.0</v>
      </c>
      <c r="K19" s="143" t="s">
        <v>762</v>
      </c>
      <c r="L19" s="143">
        <v>2.0</v>
      </c>
    </row>
    <row r="20">
      <c r="A20" s="143" t="s">
        <v>752</v>
      </c>
      <c r="B20" s="143" t="s">
        <v>711</v>
      </c>
      <c r="C20" s="143" t="s">
        <v>763</v>
      </c>
      <c r="D20" s="143" t="s">
        <v>162</v>
      </c>
      <c r="E20" s="143" t="s">
        <v>57</v>
      </c>
      <c r="F20" s="143">
        <v>4.0</v>
      </c>
      <c r="G20" s="143" t="s">
        <v>722</v>
      </c>
      <c r="H20" s="143" t="s">
        <v>741</v>
      </c>
      <c r="I20" s="143">
        <v>10.0</v>
      </c>
      <c r="J20" s="143">
        <v>8.0</v>
      </c>
      <c r="K20" s="143" t="s">
        <v>57</v>
      </c>
      <c r="L20" s="143">
        <v>1.0</v>
      </c>
    </row>
    <row r="21">
      <c r="A21" s="143" t="s">
        <v>752</v>
      </c>
      <c r="B21" s="143" t="s">
        <v>711</v>
      </c>
      <c r="C21" s="143" t="s">
        <v>764</v>
      </c>
      <c r="D21" s="143" t="s">
        <v>452</v>
      </c>
      <c r="E21" s="143" t="s">
        <v>57</v>
      </c>
      <c r="F21" s="143">
        <v>5.0</v>
      </c>
      <c r="G21" s="143" t="s">
        <v>726</v>
      </c>
      <c r="H21" s="143" t="s">
        <v>765</v>
      </c>
      <c r="I21" s="143">
        <v>15.0</v>
      </c>
      <c r="J21" s="143">
        <v>12.0</v>
      </c>
      <c r="K21" s="143" t="s">
        <v>766</v>
      </c>
      <c r="L21" s="143">
        <v>1.0</v>
      </c>
    </row>
    <row r="22">
      <c r="A22" s="143" t="s">
        <v>752</v>
      </c>
      <c r="B22" s="143" t="s">
        <v>711</v>
      </c>
      <c r="C22" s="143" t="s">
        <v>767</v>
      </c>
      <c r="D22" s="143" t="s">
        <v>463</v>
      </c>
      <c r="E22" s="143" t="s">
        <v>57</v>
      </c>
      <c r="F22" s="143">
        <v>6.0</v>
      </c>
      <c r="G22" s="143" t="s">
        <v>754</v>
      </c>
      <c r="H22" s="143" t="s">
        <v>768</v>
      </c>
      <c r="I22" s="143">
        <v>35.0</v>
      </c>
      <c r="J22" s="143">
        <v>22.0</v>
      </c>
      <c r="K22" s="143" t="s">
        <v>57</v>
      </c>
      <c r="L22" s="143">
        <v>1.0</v>
      </c>
    </row>
    <row r="23">
      <c r="A23" s="143" t="s">
        <v>752</v>
      </c>
      <c r="B23" s="143" t="s">
        <v>711</v>
      </c>
      <c r="C23" s="143" t="s">
        <v>769</v>
      </c>
      <c r="D23" s="143" t="s">
        <v>463</v>
      </c>
      <c r="E23" s="143" t="s">
        <v>57</v>
      </c>
      <c r="F23" s="143">
        <v>8.0</v>
      </c>
      <c r="G23" s="143" t="s">
        <v>726</v>
      </c>
      <c r="H23" s="143" t="s">
        <v>770</v>
      </c>
      <c r="I23" s="143">
        <v>25.0</v>
      </c>
      <c r="J23" s="143">
        <v>15.0</v>
      </c>
      <c r="K23" s="143" t="s">
        <v>57</v>
      </c>
      <c r="L23" s="143">
        <v>1.0</v>
      </c>
    </row>
    <row r="24">
      <c r="A24" s="143" t="s">
        <v>752</v>
      </c>
      <c r="B24" s="143" t="s">
        <v>711</v>
      </c>
      <c r="C24" s="143" t="s">
        <v>771</v>
      </c>
      <c r="D24" s="143" t="s">
        <v>463</v>
      </c>
      <c r="E24" s="143" t="s">
        <v>57</v>
      </c>
      <c r="F24" s="143">
        <v>10.0</v>
      </c>
      <c r="G24" s="143" t="s">
        <v>726</v>
      </c>
      <c r="H24" s="143" t="s">
        <v>772</v>
      </c>
      <c r="I24" s="143">
        <v>40.0</v>
      </c>
      <c r="J24" s="143">
        <v>25.0</v>
      </c>
      <c r="K24" s="143" t="s">
        <v>57</v>
      </c>
      <c r="L24" s="143">
        <v>1.0</v>
      </c>
    </row>
    <row r="25">
      <c r="A25" s="143" t="s">
        <v>752</v>
      </c>
      <c r="B25" s="143" t="s">
        <v>711</v>
      </c>
      <c r="C25" s="143" t="s">
        <v>773</v>
      </c>
      <c r="D25" s="143" t="s">
        <v>162</v>
      </c>
      <c r="E25" s="143" t="s">
        <v>57</v>
      </c>
      <c r="F25" s="143">
        <v>5.0</v>
      </c>
      <c r="G25" s="143" t="s">
        <v>737</v>
      </c>
      <c r="H25" s="143" t="s">
        <v>774</v>
      </c>
      <c r="I25" s="143">
        <v>30.0</v>
      </c>
      <c r="J25" s="143">
        <v>20.0</v>
      </c>
      <c r="K25" s="143" t="s">
        <v>57</v>
      </c>
      <c r="L25" s="143">
        <v>1.0</v>
      </c>
    </row>
    <row r="26">
      <c r="A26" s="143" t="s">
        <v>752</v>
      </c>
      <c r="B26" s="143" t="s">
        <v>711</v>
      </c>
      <c r="C26" s="143" t="s">
        <v>775</v>
      </c>
      <c r="D26" s="143" t="s">
        <v>463</v>
      </c>
      <c r="E26" s="143" t="s">
        <v>57</v>
      </c>
      <c r="F26" s="143">
        <v>8.0</v>
      </c>
      <c r="G26" s="143" t="s">
        <v>713</v>
      </c>
      <c r="H26" s="143" t="s">
        <v>776</v>
      </c>
      <c r="I26" s="143">
        <v>20.0</v>
      </c>
      <c r="J26" s="143">
        <v>15.0</v>
      </c>
      <c r="K26" s="143" t="s">
        <v>57</v>
      </c>
      <c r="L26" s="143">
        <v>1.0</v>
      </c>
    </row>
    <row r="27">
      <c r="A27" s="143" t="s">
        <v>752</v>
      </c>
      <c r="B27" s="143" t="s">
        <v>711</v>
      </c>
      <c r="C27" s="143" t="s">
        <v>777</v>
      </c>
      <c r="D27" s="143" t="s">
        <v>463</v>
      </c>
      <c r="E27" s="143" t="s">
        <v>57</v>
      </c>
      <c r="F27" s="143">
        <v>5.0</v>
      </c>
      <c r="G27" s="143" t="s">
        <v>722</v>
      </c>
      <c r="H27" s="143" t="s">
        <v>750</v>
      </c>
      <c r="I27" s="143">
        <v>15.0</v>
      </c>
      <c r="J27" s="143">
        <v>12.0</v>
      </c>
      <c r="K27" s="143" t="s">
        <v>57</v>
      </c>
      <c r="L27" s="143">
        <v>1.0</v>
      </c>
    </row>
    <row r="28">
      <c r="A28" s="143" t="s">
        <v>752</v>
      </c>
      <c r="B28" s="143" t="s">
        <v>711</v>
      </c>
      <c r="C28" s="143" t="s">
        <v>778</v>
      </c>
      <c r="D28" s="143" t="s">
        <v>463</v>
      </c>
      <c r="E28" s="143" t="s">
        <v>57</v>
      </c>
      <c r="F28" s="143">
        <v>8.0</v>
      </c>
      <c r="G28" s="143" t="s">
        <v>726</v>
      </c>
      <c r="H28" s="143" t="s">
        <v>770</v>
      </c>
      <c r="I28" s="143">
        <v>40.0</v>
      </c>
      <c r="J28" s="143">
        <v>35.0</v>
      </c>
      <c r="K28" s="143" t="s">
        <v>779</v>
      </c>
      <c r="L28" s="143">
        <v>1.0</v>
      </c>
    </row>
    <row r="29">
      <c r="A29" s="232" t="s">
        <v>752</v>
      </c>
      <c r="B29" s="232" t="s">
        <v>739</v>
      </c>
      <c r="C29" s="232" t="s">
        <v>780</v>
      </c>
      <c r="D29" s="232" t="s">
        <v>463</v>
      </c>
      <c r="E29" s="232">
        <v>8.0</v>
      </c>
      <c r="F29" s="232">
        <v>10.0</v>
      </c>
      <c r="G29" s="232" t="s">
        <v>754</v>
      </c>
      <c r="H29" s="232" t="s">
        <v>781</v>
      </c>
      <c r="I29" s="232">
        <v>15.0</v>
      </c>
      <c r="J29" s="232">
        <v>12.0</v>
      </c>
      <c r="K29" s="232" t="s">
        <v>742</v>
      </c>
      <c r="L29" s="232">
        <v>1.0</v>
      </c>
    </row>
    <row r="30">
      <c r="A30" s="232" t="s">
        <v>752</v>
      </c>
      <c r="B30" s="232" t="s">
        <v>739</v>
      </c>
      <c r="C30" s="232" t="s">
        <v>782</v>
      </c>
      <c r="D30" s="232" t="s">
        <v>463</v>
      </c>
      <c r="E30" s="232">
        <v>10.0</v>
      </c>
      <c r="F30" s="232">
        <v>10.0</v>
      </c>
      <c r="G30" s="232" t="s">
        <v>722</v>
      </c>
      <c r="H30" s="232" t="s">
        <v>783</v>
      </c>
      <c r="I30" s="232">
        <v>15.0</v>
      </c>
      <c r="J30" s="232">
        <v>10.0</v>
      </c>
      <c r="K30" s="232" t="s">
        <v>784</v>
      </c>
      <c r="L30" s="232">
        <v>1.0</v>
      </c>
    </row>
    <row r="31">
      <c r="A31" s="232" t="s">
        <v>752</v>
      </c>
      <c r="B31" s="232" t="s">
        <v>739</v>
      </c>
      <c r="C31" s="232" t="s">
        <v>785</v>
      </c>
      <c r="D31" s="232" t="s">
        <v>463</v>
      </c>
      <c r="E31" s="232">
        <v>12.0</v>
      </c>
      <c r="F31" s="232">
        <v>5.0</v>
      </c>
      <c r="G31" s="232" t="s">
        <v>754</v>
      </c>
      <c r="H31" s="232" t="s">
        <v>786</v>
      </c>
      <c r="I31" s="232">
        <v>10.0</v>
      </c>
      <c r="J31" s="232">
        <v>10.0</v>
      </c>
      <c r="K31" s="232" t="s">
        <v>742</v>
      </c>
      <c r="L31" s="232">
        <v>1.0</v>
      </c>
    </row>
    <row r="32">
      <c r="A32" s="232" t="s">
        <v>752</v>
      </c>
      <c r="B32" s="232" t="s">
        <v>739</v>
      </c>
      <c r="C32" s="232" t="s">
        <v>787</v>
      </c>
      <c r="D32" s="232" t="s">
        <v>463</v>
      </c>
      <c r="E32" s="232">
        <v>14.0</v>
      </c>
      <c r="F32" s="232">
        <v>5.0</v>
      </c>
      <c r="G32" s="232" t="s">
        <v>722</v>
      </c>
      <c r="H32" s="232" t="s">
        <v>750</v>
      </c>
      <c r="I32" s="232">
        <v>10.0</v>
      </c>
      <c r="J32" s="232">
        <v>8.0</v>
      </c>
      <c r="K32" s="232" t="s">
        <v>742</v>
      </c>
      <c r="L32" s="232">
        <v>1.0</v>
      </c>
    </row>
    <row r="33">
      <c r="A33" s="235" t="s">
        <v>788</v>
      </c>
      <c r="B33" s="235" t="s">
        <v>711</v>
      </c>
      <c r="C33" s="235" t="s">
        <v>789</v>
      </c>
      <c r="D33" s="235" t="s">
        <v>463</v>
      </c>
      <c r="E33" s="235" t="s">
        <v>57</v>
      </c>
      <c r="F33" s="235">
        <v>2.0</v>
      </c>
      <c r="G33" s="235" t="s">
        <v>790</v>
      </c>
      <c r="H33" s="235" t="s">
        <v>791</v>
      </c>
      <c r="I33" s="235">
        <v>40.0</v>
      </c>
      <c r="J33" s="235">
        <v>50.0</v>
      </c>
      <c r="K33" s="235" t="s">
        <v>759</v>
      </c>
      <c r="L33" s="235">
        <v>1.0</v>
      </c>
    </row>
    <row r="34">
      <c r="A34" s="235" t="s">
        <v>788</v>
      </c>
      <c r="B34" s="235" t="s">
        <v>711</v>
      </c>
      <c r="C34" s="235" t="s">
        <v>792</v>
      </c>
      <c r="D34" s="235" t="s">
        <v>463</v>
      </c>
      <c r="E34" s="235" t="s">
        <v>57</v>
      </c>
      <c r="F34" s="235">
        <v>2.0</v>
      </c>
      <c r="G34" s="235" t="s">
        <v>790</v>
      </c>
      <c r="H34" s="235" t="s">
        <v>791</v>
      </c>
      <c r="I34" s="235">
        <v>25.0</v>
      </c>
      <c r="J34" s="235">
        <v>25.0</v>
      </c>
      <c r="K34" s="235" t="s">
        <v>57</v>
      </c>
      <c r="L34" s="235">
        <v>1.0</v>
      </c>
    </row>
    <row r="35">
      <c r="A35" s="235" t="s">
        <v>788</v>
      </c>
      <c r="B35" s="235" t="s">
        <v>711</v>
      </c>
      <c r="C35" s="235" t="s">
        <v>793</v>
      </c>
      <c r="D35" s="235" t="s">
        <v>463</v>
      </c>
      <c r="E35" s="235" t="s">
        <v>57</v>
      </c>
      <c r="F35" s="235">
        <v>3.0</v>
      </c>
      <c r="G35" s="235" t="s">
        <v>794</v>
      </c>
      <c r="H35" s="235" t="s">
        <v>795</v>
      </c>
      <c r="I35" s="235">
        <v>30.0</v>
      </c>
      <c r="J35" s="235">
        <v>30.0</v>
      </c>
      <c r="K35" s="235" t="s">
        <v>57</v>
      </c>
      <c r="L35" s="235">
        <v>1.0</v>
      </c>
    </row>
    <row r="36">
      <c r="A36" s="235" t="s">
        <v>788</v>
      </c>
      <c r="B36" s="235" t="s">
        <v>711</v>
      </c>
      <c r="C36" s="235" t="s">
        <v>796</v>
      </c>
      <c r="D36" s="235" t="s">
        <v>463</v>
      </c>
      <c r="E36" s="235" t="s">
        <v>57</v>
      </c>
      <c r="F36" s="235">
        <v>2.0</v>
      </c>
      <c r="G36" s="235" t="s">
        <v>797</v>
      </c>
      <c r="H36" s="235" t="s">
        <v>798</v>
      </c>
      <c r="I36" s="235">
        <v>50.0</v>
      </c>
      <c r="J36" s="235">
        <v>40.0</v>
      </c>
      <c r="K36" s="235" t="s">
        <v>57</v>
      </c>
      <c r="L36" s="235">
        <v>1.0</v>
      </c>
    </row>
    <row r="37">
      <c r="A37" s="235" t="s">
        <v>788</v>
      </c>
      <c r="B37" s="235" t="s">
        <v>711</v>
      </c>
      <c r="C37" s="235" t="s">
        <v>799</v>
      </c>
      <c r="D37" s="235" t="s">
        <v>463</v>
      </c>
      <c r="E37" s="235" t="s">
        <v>57</v>
      </c>
      <c r="F37" s="235"/>
      <c r="G37" s="235" t="s">
        <v>52</v>
      </c>
      <c r="H37" s="235" t="s">
        <v>52</v>
      </c>
      <c r="I37" s="235">
        <v>45.0</v>
      </c>
      <c r="J37" s="235">
        <v>45.0</v>
      </c>
      <c r="K37" s="235" t="s">
        <v>731</v>
      </c>
      <c r="L37" s="235">
        <v>1.0</v>
      </c>
    </row>
    <row r="38">
      <c r="A38" s="235" t="s">
        <v>788</v>
      </c>
      <c r="B38" s="235" t="s">
        <v>711</v>
      </c>
      <c r="C38" s="235" t="s">
        <v>800</v>
      </c>
      <c r="D38" s="235" t="s">
        <v>162</v>
      </c>
      <c r="E38" s="235" t="s">
        <v>57</v>
      </c>
      <c r="F38" s="235">
        <v>3.0</v>
      </c>
      <c r="G38" s="235" t="s">
        <v>790</v>
      </c>
      <c r="H38" s="235" t="s">
        <v>801</v>
      </c>
      <c r="I38" s="235">
        <v>45.0</v>
      </c>
      <c r="J38" s="235">
        <v>35.0</v>
      </c>
      <c r="K38" s="235" t="s">
        <v>57</v>
      </c>
      <c r="L38" s="235">
        <v>1.0</v>
      </c>
    </row>
    <row r="39">
      <c r="A39" s="235" t="s">
        <v>788</v>
      </c>
      <c r="B39" s="235" t="s">
        <v>711</v>
      </c>
      <c r="C39" s="235" t="s">
        <v>802</v>
      </c>
      <c r="D39" s="235" t="s">
        <v>463</v>
      </c>
      <c r="E39" s="235" t="s">
        <v>57</v>
      </c>
      <c r="F39" s="235">
        <v>3.0</v>
      </c>
      <c r="G39" s="235" t="s">
        <v>794</v>
      </c>
      <c r="H39" s="235" t="s">
        <v>795</v>
      </c>
      <c r="I39" s="235">
        <v>50.0</v>
      </c>
      <c r="J39" s="235">
        <v>60.0</v>
      </c>
      <c r="K39" s="235" t="s">
        <v>779</v>
      </c>
      <c r="L39" s="235">
        <v>1.0</v>
      </c>
    </row>
    <row r="40">
      <c r="A40" s="235" t="s">
        <v>788</v>
      </c>
      <c r="B40" s="235" t="s">
        <v>711</v>
      </c>
      <c r="C40" s="235" t="s">
        <v>803</v>
      </c>
      <c r="D40" s="235" t="s">
        <v>162</v>
      </c>
      <c r="E40" s="235" t="s">
        <v>57</v>
      </c>
      <c r="F40" s="235">
        <v>2.0</v>
      </c>
      <c r="G40" s="235" t="s">
        <v>804</v>
      </c>
      <c r="H40" s="235" t="s">
        <v>805</v>
      </c>
      <c r="I40" s="235">
        <v>50.0</v>
      </c>
      <c r="J40" s="235">
        <v>60.0</v>
      </c>
      <c r="K40" s="235" t="s">
        <v>806</v>
      </c>
      <c r="L40" s="235">
        <v>1.0</v>
      </c>
    </row>
    <row r="41">
      <c r="A41" s="235" t="s">
        <v>788</v>
      </c>
      <c r="B41" s="235" t="s">
        <v>711</v>
      </c>
      <c r="C41" s="235" t="s">
        <v>807</v>
      </c>
      <c r="D41" s="235" t="s">
        <v>463</v>
      </c>
      <c r="E41" s="235" t="s">
        <v>57</v>
      </c>
      <c r="F41" s="235">
        <v>2.0</v>
      </c>
      <c r="G41" s="235" t="s">
        <v>794</v>
      </c>
      <c r="H41" s="235" t="s">
        <v>808</v>
      </c>
      <c r="I41" s="235">
        <v>20.0</v>
      </c>
      <c r="J41" s="235">
        <v>20.0</v>
      </c>
      <c r="K41" s="235" t="s">
        <v>57</v>
      </c>
      <c r="L41" s="235">
        <v>1.0</v>
      </c>
    </row>
    <row r="42">
      <c r="A42" s="235" t="s">
        <v>788</v>
      </c>
      <c r="B42" s="235" t="s">
        <v>711</v>
      </c>
      <c r="C42" s="235" t="s">
        <v>809</v>
      </c>
      <c r="D42" s="235" t="s">
        <v>463</v>
      </c>
      <c r="E42" s="235" t="s">
        <v>57</v>
      </c>
      <c r="F42" s="235">
        <v>2.0</v>
      </c>
      <c r="G42" s="235" t="s">
        <v>804</v>
      </c>
      <c r="H42" s="235" t="s">
        <v>805</v>
      </c>
      <c r="I42" s="235">
        <v>40.0</v>
      </c>
      <c r="J42" s="235">
        <v>35.0</v>
      </c>
      <c r="K42" s="235" t="s">
        <v>57</v>
      </c>
      <c r="L42" s="235">
        <v>1.0</v>
      </c>
    </row>
    <row r="43">
      <c r="A43" s="235" t="s">
        <v>788</v>
      </c>
      <c r="B43" s="235" t="s">
        <v>711</v>
      </c>
      <c r="C43" s="235" t="s">
        <v>810</v>
      </c>
      <c r="D43" s="235" t="s">
        <v>162</v>
      </c>
      <c r="E43" s="235" t="s">
        <v>57</v>
      </c>
      <c r="F43" s="235">
        <v>2.0</v>
      </c>
      <c r="G43" s="235" t="s">
        <v>811</v>
      </c>
      <c r="H43" s="235" t="s">
        <v>812</v>
      </c>
      <c r="I43" s="235">
        <v>55.0</v>
      </c>
      <c r="J43" s="235">
        <v>75.0</v>
      </c>
      <c r="K43" s="235" t="s">
        <v>813</v>
      </c>
      <c r="L43" s="235">
        <v>1.0</v>
      </c>
    </row>
    <row r="44">
      <c r="A44" s="130" t="s">
        <v>788</v>
      </c>
      <c r="B44" s="130" t="s">
        <v>739</v>
      </c>
      <c r="C44" s="130" t="s">
        <v>814</v>
      </c>
      <c r="D44" s="130" t="s">
        <v>463</v>
      </c>
      <c r="E44" s="130">
        <v>6.0</v>
      </c>
      <c r="F44" s="130">
        <v>4.0</v>
      </c>
      <c r="G44" s="130" t="s">
        <v>797</v>
      </c>
      <c r="H44" s="130" t="s">
        <v>815</v>
      </c>
      <c r="I44" s="130">
        <v>15.0</v>
      </c>
      <c r="J44" s="130">
        <v>25.0</v>
      </c>
      <c r="K44" s="130" t="s">
        <v>742</v>
      </c>
      <c r="L44" s="130">
        <v>1.0</v>
      </c>
    </row>
    <row r="45">
      <c r="A45" s="130" t="s">
        <v>788</v>
      </c>
      <c r="B45" s="130" t="s">
        <v>739</v>
      </c>
      <c r="C45" s="130" t="s">
        <v>816</v>
      </c>
      <c r="D45" s="130" t="s">
        <v>463</v>
      </c>
      <c r="E45" s="130">
        <v>8.0</v>
      </c>
      <c r="F45" s="130">
        <v>2.0</v>
      </c>
      <c r="G45" s="130" t="s">
        <v>797</v>
      </c>
      <c r="H45" s="130" t="s">
        <v>798</v>
      </c>
      <c r="I45" s="130">
        <v>10.0</v>
      </c>
      <c r="J45" s="130">
        <v>25.0</v>
      </c>
      <c r="K45" s="130" t="s">
        <v>742</v>
      </c>
      <c r="L45" s="130">
        <v>1.0</v>
      </c>
    </row>
    <row r="46">
      <c r="A46" s="130" t="s">
        <v>788</v>
      </c>
      <c r="B46" s="130" t="s">
        <v>739</v>
      </c>
      <c r="C46" s="130" t="s">
        <v>817</v>
      </c>
      <c r="D46" s="130" t="s">
        <v>463</v>
      </c>
      <c r="E46" s="130">
        <v>8.0</v>
      </c>
      <c r="F46" s="130">
        <v>4.0</v>
      </c>
      <c r="G46" s="130" t="s">
        <v>804</v>
      </c>
      <c r="H46" s="130" t="s">
        <v>818</v>
      </c>
      <c r="I46" s="130">
        <v>15.0</v>
      </c>
      <c r="J46" s="130">
        <v>20.0</v>
      </c>
      <c r="K46" s="130" t="s">
        <v>742</v>
      </c>
      <c r="L46" s="130">
        <v>1.0</v>
      </c>
    </row>
    <row r="47">
      <c r="A47" s="130" t="s">
        <v>788</v>
      </c>
      <c r="B47" s="130" t="s">
        <v>739</v>
      </c>
      <c r="C47" s="130" t="s">
        <v>819</v>
      </c>
      <c r="D47" s="130" t="s">
        <v>463</v>
      </c>
      <c r="E47" s="130">
        <v>12.0</v>
      </c>
      <c r="F47" s="130">
        <v>2.0</v>
      </c>
      <c r="G47" s="130" t="s">
        <v>804</v>
      </c>
      <c r="H47" s="130" t="s">
        <v>805</v>
      </c>
      <c r="I47" s="130">
        <v>15.0</v>
      </c>
      <c r="J47" s="130">
        <v>20.0</v>
      </c>
      <c r="K47" s="130" t="s">
        <v>820</v>
      </c>
      <c r="L47" s="130">
        <v>1.0</v>
      </c>
    </row>
    <row r="48">
      <c r="A48" s="130" t="s">
        <v>788</v>
      </c>
      <c r="B48" s="130" t="s">
        <v>739</v>
      </c>
      <c r="C48" s="130" t="s">
        <v>821</v>
      </c>
      <c r="D48" s="130" t="s">
        <v>463</v>
      </c>
      <c r="E48" s="130">
        <v>10.0</v>
      </c>
      <c r="F48" s="130">
        <v>2.0</v>
      </c>
      <c r="G48" s="130" t="s">
        <v>790</v>
      </c>
      <c r="H48" s="130" t="s">
        <v>791</v>
      </c>
      <c r="I48" s="130">
        <v>10.0</v>
      </c>
      <c r="J48" s="130">
        <v>20.0</v>
      </c>
      <c r="K48" s="130" t="s">
        <v>742</v>
      </c>
      <c r="L48" s="130">
        <v>1.0</v>
      </c>
    </row>
    <row r="49">
      <c r="A49" s="130"/>
      <c r="B49" s="130"/>
      <c r="C49" s="130" t="s">
        <v>822</v>
      </c>
      <c r="D49" s="130"/>
      <c r="E49" s="130"/>
      <c r="F49" s="130"/>
      <c r="G49" s="130"/>
      <c r="H49" s="130"/>
      <c r="I49" s="130"/>
      <c r="J49" s="130"/>
      <c r="K49" s="130"/>
      <c r="L49" s="130"/>
    </row>
    <row r="50">
      <c r="A50" s="130"/>
      <c r="B50" s="130"/>
      <c r="C50" s="130" t="s">
        <v>823</v>
      </c>
      <c r="D50" s="130"/>
      <c r="E50" s="130"/>
      <c r="F50" s="130"/>
      <c r="G50" s="130"/>
      <c r="H50" s="130"/>
      <c r="I50" s="130"/>
      <c r="J50" s="130"/>
      <c r="K50" s="130"/>
      <c r="L50" s="130"/>
    </row>
  </sheetData>
  <drawing r:id="rId2"/>
  <legacyDrawing r:id="rId3"/>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FFFFFF"/>
  </sheetPr>
  <sheetViews>
    <sheetView workbookViewId="0">
      <pane ySplit="1.0" topLeftCell="A2" activePane="bottomLeft" state="frozen"/>
      <selection activeCell="B3" sqref="B3" pane="bottomLeft"/>
    </sheetView>
  </sheetViews>
  <sheetFormatPr customHeight="1" defaultColWidth="14.43" defaultRowHeight="15.75"/>
  <cols>
    <col customWidth="1" min="1" max="1" width="12.29"/>
    <col customWidth="1" min="2" max="2" width="12.0"/>
    <col customWidth="1" min="3" max="3" width="13.43"/>
    <col customWidth="1" min="4" max="4" width="11.14"/>
  </cols>
  <sheetData>
    <row r="1">
      <c r="A1" s="275" t="s">
        <v>824</v>
      </c>
      <c r="B1" s="275" t="s">
        <v>825</v>
      </c>
      <c r="C1" s="275" t="s">
        <v>108</v>
      </c>
      <c r="D1" s="275" t="s">
        <v>826</v>
      </c>
    </row>
    <row r="2">
      <c r="A2" s="57" t="s">
        <v>827</v>
      </c>
      <c r="B2" s="57" t="s">
        <v>828</v>
      </c>
      <c r="C2" s="57" t="s">
        <v>829</v>
      </c>
      <c r="D2" s="57" t="s">
        <v>830</v>
      </c>
    </row>
    <row r="3">
      <c r="A3" s="57" t="s">
        <v>831</v>
      </c>
      <c r="B3" s="57" t="s">
        <v>832</v>
      </c>
      <c r="C3" s="57" t="s">
        <v>833</v>
      </c>
      <c r="D3" s="57" t="s">
        <v>834</v>
      </c>
    </row>
    <row r="4">
      <c r="A4" s="57" t="s">
        <v>835</v>
      </c>
      <c r="B4" s="57" t="s">
        <v>836</v>
      </c>
      <c r="C4" s="57" t="s">
        <v>837</v>
      </c>
      <c r="D4" s="57" t="s">
        <v>838</v>
      </c>
    </row>
    <row r="5">
      <c r="A5" s="57" t="s">
        <v>839</v>
      </c>
      <c r="B5" s="57" t="s">
        <v>840</v>
      </c>
      <c r="C5" s="57" t="s">
        <v>841</v>
      </c>
      <c r="D5" s="57" t="s">
        <v>834</v>
      </c>
    </row>
    <row r="6">
      <c r="A6" s="57" t="s">
        <v>842</v>
      </c>
      <c r="B6" s="57" t="s">
        <v>843</v>
      </c>
      <c r="C6" s="57" t="s">
        <v>844</v>
      </c>
      <c r="D6" s="57" t="s">
        <v>845</v>
      </c>
    </row>
    <row r="7">
      <c r="A7" s="57" t="s">
        <v>846</v>
      </c>
      <c r="B7" s="57" t="s">
        <v>847</v>
      </c>
      <c r="C7" s="57" t="s">
        <v>848</v>
      </c>
      <c r="D7" s="57" t="s">
        <v>849</v>
      </c>
    </row>
    <row r="8">
      <c r="A8" s="57" t="s">
        <v>846</v>
      </c>
      <c r="B8" s="57" t="s">
        <v>850</v>
      </c>
      <c r="C8" s="57" t="s">
        <v>851</v>
      </c>
      <c r="D8" s="57" t="s">
        <v>849</v>
      </c>
    </row>
    <row r="9">
      <c r="A9" s="57" t="s">
        <v>846</v>
      </c>
      <c r="B9" s="57" t="s">
        <v>852</v>
      </c>
      <c r="C9" s="57" t="s">
        <v>853</v>
      </c>
      <c r="D9" s="57" t="s">
        <v>849</v>
      </c>
    </row>
    <row r="10">
      <c r="A10" s="57" t="s">
        <v>854</v>
      </c>
      <c r="B10" s="57" t="s">
        <v>855</v>
      </c>
      <c r="C10" s="57" t="s">
        <v>580</v>
      </c>
      <c r="D10" s="57" t="s">
        <v>830</v>
      </c>
    </row>
    <row r="11">
      <c r="A11" s="57" t="s">
        <v>856</v>
      </c>
      <c r="B11" s="57" t="s">
        <v>857</v>
      </c>
      <c r="C11" s="57" t="s">
        <v>833</v>
      </c>
      <c r="D11" s="57" t="s">
        <v>838</v>
      </c>
    </row>
    <row r="12">
      <c r="A12" s="57" t="s">
        <v>858</v>
      </c>
      <c r="B12" s="57" t="s">
        <v>859</v>
      </c>
      <c r="C12" s="57" t="s">
        <v>860</v>
      </c>
      <c r="D12" s="57" t="s">
        <v>830</v>
      </c>
    </row>
    <row r="13">
      <c r="A13" s="57" t="s">
        <v>858</v>
      </c>
      <c r="B13" s="57" t="s">
        <v>861</v>
      </c>
      <c r="C13" s="57" t="s">
        <v>860</v>
      </c>
      <c r="D13" s="57" t="s">
        <v>830</v>
      </c>
    </row>
    <row r="14">
      <c r="A14" s="57" t="s">
        <v>862</v>
      </c>
      <c r="B14" s="57" t="s">
        <v>863</v>
      </c>
      <c r="C14" s="57" t="s">
        <v>864</v>
      </c>
      <c r="D14" s="57" t="s">
        <v>830</v>
      </c>
    </row>
    <row r="15">
      <c r="A15" s="57" t="s">
        <v>865</v>
      </c>
      <c r="B15" s="57" t="s">
        <v>866</v>
      </c>
      <c r="C15" s="57" t="s">
        <v>867</v>
      </c>
      <c r="D15" s="57" t="s">
        <v>845</v>
      </c>
    </row>
    <row r="16">
      <c r="A16" s="57" t="s">
        <v>865</v>
      </c>
      <c r="B16" s="57" t="s">
        <v>868</v>
      </c>
      <c r="C16" s="57" t="s">
        <v>867</v>
      </c>
      <c r="D16" s="57" t="s">
        <v>845</v>
      </c>
    </row>
    <row r="17">
      <c r="A17" s="57" t="s">
        <v>865</v>
      </c>
      <c r="B17" s="57" t="s">
        <v>869</v>
      </c>
      <c r="C17" s="57" t="s">
        <v>867</v>
      </c>
      <c r="D17" s="57" t="s">
        <v>845</v>
      </c>
    </row>
    <row r="18">
      <c r="A18" s="57" t="s">
        <v>870</v>
      </c>
      <c r="B18" s="57" t="s">
        <v>871</v>
      </c>
      <c r="C18" s="57" t="s">
        <v>872</v>
      </c>
      <c r="D18" s="57" t="s">
        <v>834</v>
      </c>
    </row>
    <row r="19">
      <c r="A19" s="57" t="s">
        <v>873</v>
      </c>
      <c r="B19" s="57" t="s">
        <v>874</v>
      </c>
      <c r="C19" s="57" t="s">
        <v>875</v>
      </c>
      <c r="D19" s="57" t="s">
        <v>845</v>
      </c>
    </row>
    <row r="20">
      <c r="A20" s="57" t="s">
        <v>876</v>
      </c>
      <c r="B20" s="57" t="s">
        <v>877</v>
      </c>
      <c r="C20" s="57" t="s">
        <v>878</v>
      </c>
      <c r="D20" s="57" t="s">
        <v>838</v>
      </c>
    </row>
    <row r="21">
      <c r="A21" s="57"/>
      <c r="B21" s="57"/>
      <c r="C21" s="57"/>
      <c r="D21" s="57"/>
    </row>
    <row r="22">
      <c r="A22" s="57"/>
      <c r="B22" s="57"/>
      <c r="C22" s="57"/>
      <c r="D22" s="57"/>
    </row>
    <row r="23">
      <c r="A23" s="57"/>
      <c r="B23" s="57"/>
      <c r="C23" s="57"/>
      <c r="D23" s="57"/>
    </row>
    <row r="24">
      <c r="A24" s="57"/>
      <c r="B24" s="57"/>
      <c r="C24" s="57"/>
      <c r="D24" s="57"/>
    </row>
    <row r="25">
      <c r="A25" s="57"/>
      <c r="B25" s="57"/>
      <c r="C25" s="57"/>
      <c r="D25" s="57"/>
    </row>
    <row r="26">
      <c r="A26" s="57"/>
      <c r="B26" s="57"/>
      <c r="C26" s="57"/>
      <c r="D26" s="57"/>
    </row>
    <row r="27">
      <c r="A27" s="57"/>
      <c r="B27" s="57"/>
      <c r="C27" s="57"/>
      <c r="D27" s="57"/>
    </row>
    <row r="28">
      <c r="A28" s="57"/>
      <c r="B28" s="57"/>
      <c r="C28" s="57"/>
      <c r="D28" s="57"/>
    </row>
    <row r="29">
      <c r="A29" s="57"/>
      <c r="B29" s="57"/>
      <c r="C29" s="57"/>
      <c r="D29" s="57"/>
    </row>
  </sheetData>
  <drawing r:id="rId1"/>
  <tableParts count="1">
    <tablePart r:id="rId3"/>
  </tableParts>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F6B26B"/>
  </sheetPr>
  <sheetViews>
    <sheetView workbookViewId="0">
      <pane ySplit="1.0" topLeftCell="A2" activePane="bottomLeft" state="frozen"/>
      <selection activeCell="B3" sqref="B3" pane="bottomLeft"/>
    </sheetView>
  </sheetViews>
  <sheetFormatPr customHeight="1" defaultColWidth="14.43" defaultRowHeight="15.75"/>
  <cols>
    <col customWidth="1" min="1" max="1" width="5.57"/>
    <col customWidth="1" min="2" max="2" width="9.29"/>
    <col customWidth="1" min="3" max="3" width="126.86"/>
  </cols>
  <sheetData>
    <row r="1" ht="74.25" customHeight="1">
      <c r="A1" s="276" t="s">
        <v>879</v>
      </c>
      <c r="B1" s="277" t="s">
        <v>880</v>
      </c>
      <c r="C1" s="278" t="s">
        <v>91</v>
      </c>
    </row>
    <row r="2">
      <c r="A2" s="279" t="s">
        <v>20</v>
      </c>
      <c r="B2" s="280">
        <v>42973.0</v>
      </c>
      <c r="C2" s="281" t="s">
        <v>881</v>
      </c>
    </row>
    <row r="3">
      <c r="A3" s="279" t="s">
        <v>882</v>
      </c>
      <c r="B3" s="280">
        <v>42972.0</v>
      </c>
      <c r="C3" s="281" t="s">
        <v>883</v>
      </c>
    </row>
    <row r="4">
      <c r="A4" s="279" t="s">
        <v>884</v>
      </c>
      <c r="B4" s="280">
        <v>42970.0</v>
      </c>
      <c r="C4" s="281" t="s">
        <v>885</v>
      </c>
    </row>
    <row r="5">
      <c r="A5" s="279" t="s">
        <v>886</v>
      </c>
      <c r="B5" s="280">
        <v>42969.0</v>
      </c>
      <c r="C5" s="281" t="s">
        <v>887</v>
      </c>
    </row>
    <row r="6">
      <c r="A6" s="279" t="s">
        <v>888</v>
      </c>
      <c r="B6" s="280">
        <v>42969.0</v>
      </c>
      <c r="C6" s="281" t="s">
        <v>889</v>
      </c>
    </row>
    <row r="7">
      <c r="A7" s="279" t="s">
        <v>890</v>
      </c>
      <c r="B7" s="280">
        <v>42968.0</v>
      </c>
      <c r="C7" s="281" t="s">
        <v>891</v>
      </c>
    </row>
    <row r="8">
      <c r="A8" s="279" t="s">
        <v>892</v>
      </c>
      <c r="B8" s="279" t="s">
        <v>893</v>
      </c>
      <c r="C8" s="281" t="s">
        <v>894</v>
      </c>
    </row>
    <row r="9">
      <c r="A9" s="279" t="s">
        <v>895</v>
      </c>
      <c r="B9" s="279" t="s">
        <v>896</v>
      </c>
      <c r="C9" s="281" t="s">
        <v>897</v>
      </c>
    </row>
    <row r="10">
      <c r="A10" s="279" t="s">
        <v>898</v>
      </c>
      <c r="B10" s="279" t="s">
        <v>899</v>
      </c>
      <c r="C10" s="281" t="s">
        <v>900</v>
      </c>
    </row>
    <row r="11">
      <c r="A11" s="279" t="s">
        <v>901</v>
      </c>
      <c r="B11" s="279" t="s">
        <v>902</v>
      </c>
      <c r="C11" s="281" t="s">
        <v>903</v>
      </c>
    </row>
    <row r="12">
      <c r="A12" s="279" t="s">
        <v>904</v>
      </c>
      <c r="B12" s="280">
        <v>42965.0</v>
      </c>
      <c r="C12" s="281" t="s">
        <v>905</v>
      </c>
    </row>
    <row r="13">
      <c r="A13" s="279" t="s">
        <v>906</v>
      </c>
      <c r="B13" s="280">
        <v>42964.0</v>
      </c>
      <c r="C13" s="281" t="s">
        <v>907</v>
      </c>
    </row>
    <row r="14">
      <c r="A14" s="279" t="s">
        <v>908</v>
      </c>
      <c r="B14" s="280">
        <v>42961.0</v>
      </c>
      <c r="C14" s="281" t="s">
        <v>909</v>
      </c>
    </row>
    <row r="15">
      <c r="A15" s="282" t="s">
        <v>910</v>
      </c>
      <c r="B15" s="283">
        <v>42960.0</v>
      </c>
      <c r="C15" s="281" t="s">
        <v>911</v>
      </c>
    </row>
    <row r="16">
      <c r="A16" s="284"/>
      <c r="B16" s="285"/>
      <c r="C16" s="286"/>
    </row>
  </sheetData>
  <drawing r:id="rId1"/>
  <tableParts count="1">
    <tablePart r:id="rId3"/>
  </tableParts>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FCE5CD"/>
  </sheetPr>
  <sheetViews>
    <sheetView workbookViewId="0">
      <pane ySplit="1.0" topLeftCell="A2" activePane="bottomLeft" state="frozen"/>
      <selection activeCell="B3" sqref="B3" pane="bottomLeft"/>
    </sheetView>
  </sheetViews>
  <sheetFormatPr customHeight="1" defaultColWidth="14.43" defaultRowHeight="15.75"/>
  <cols>
    <col customWidth="1" min="1" max="1" width="62.71"/>
  </cols>
  <sheetData>
    <row r="1">
      <c r="A1" s="287" t="s">
        <v>912</v>
      </c>
    </row>
    <row r="2">
      <c r="A2" s="288" t="s">
        <v>913</v>
      </c>
    </row>
    <row r="3">
      <c r="A3" s="290" t="s">
        <v>916</v>
      </c>
    </row>
    <row r="4">
      <c r="A4" s="292"/>
    </row>
    <row r="5">
      <c r="A5" s="292"/>
    </row>
    <row r="6">
      <c r="A6" s="292"/>
    </row>
    <row r="7">
      <c r="A7" s="292"/>
    </row>
    <row r="8">
      <c r="A8" s="292"/>
    </row>
    <row r="9">
      <c r="A9" s="293"/>
    </row>
    <row r="10">
      <c r="A10" s="293"/>
    </row>
    <row r="11">
      <c r="A11" s="295"/>
    </row>
    <row r="12">
      <c r="A12" s="296"/>
    </row>
  </sheetData>
  <drawing r:id="rId1"/>
  <tableParts count="1">
    <tablePart r:id="rId3"/>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000000"/>
  </sheetPr>
  <sheetViews>
    <sheetView workbookViewId="0">
      <pane ySplit="3.0" topLeftCell="A4" activePane="bottomLeft" state="frozen"/>
      <selection activeCell="B5" sqref="B5" pane="bottomLeft"/>
    </sheetView>
  </sheetViews>
  <sheetFormatPr customHeight="1" defaultColWidth="14.43" defaultRowHeight="15.75"/>
  <cols>
    <col customWidth="1" min="1" max="1" width="4.43"/>
    <col customWidth="1" min="2" max="2" width="4.57"/>
    <col customWidth="1" min="3" max="17" width="4.43"/>
  </cols>
  <sheetData>
    <row r="1">
      <c r="A1" s="3" t="str">
        <f>ShipName</f>
        <v/>
      </c>
    </row>
    <row r="2">
      <c r="A2" s="5"/>
      <c r="B2" s="5" t="str">
        <f>upper(MakeModel)</f>
        <v/>
      </c>
      <c r="C2" s="5"/>
      <c r="D2" s="5"/>
      <c r="E2" s="5"/>
      <c r="F2" s="5"/>
      <c r="G2" s="5"/>
      <c r="H2" s="5"/>
      <c r="I2" s="5"/>
      <c r="J2" s="5"/>
      <c r="K2" s="5"/>
      <c r="L2" s="5"/>
      <c r="M2" s="5"/>
      <c r="N2" s="7"/>
      <c r="O2" s="7" t="str">
        <f>upper("Tier "&amp;Tier)</f>
        <v>TIER </v>
      </c>
      <c r="Q2" s="7"/>
    </row>
    <row r="3">
      <c r="A3" s="9" t="str">
        <f>ShipSize&amp;" "&amp;Frame</f>
        <v>- </v>
      </c>
    </row>
    <row r="4">
      <c r="A4" s="10" t="str">
        <f>"Speed"</f>
        <v>Speed</v>
      </c>
      <c r="C4" s="12">
        <f>Speed</f>
        <v>0</v>
      </c>
      <c r="D4" s="13" t="s">
        <v>11</v>
      </c>
      <c r="H4" s="14" t="str">
        <f>ManeuverabilityTurn</f>
        <v>Perfect (turn 0)</v>
      </c>
      <c r="L4" s="13" t="s">
        <v>13</v>
      </c>
      <c r="N4" s="12">
        <f>DriftRating</f>
        <v>0</v>
      </c>
    </row>
    <row r="5">
      <c r="A5" s="17" t="s">
        <v>14</v>
      </c>
      <c r="B5" s="4">
        <f>ACtotal</f>
        <v>10</v>
      </c>
      <c r="C5" s="17" t="s">
        <v>15</v>
      </c>
      <c r="D5" s="4">
        <f>TLtotal</f>
        <v>10</v>
      </c>
    </row>
    <row r="6">
      <c r="A6" s="17" t="s">
        <v>16</v>
      </c>
      <c r="B6" s="4">
        <f>HPtotal</f>
        <v>0</v>
      </c>
      <c r="C6" s="17" t="s">
        <v>17</v>
      </c>
      <c r="D6" s="23" t="str">
        <f>BaseDT</f>
        <v>-</v>
      </c>
      <c r="E6" s="17" t="s">
        <v>21</v>
      </c>
      <c r="F6" s="4">
        <f>CTtotal</f>
        <v>0</v>
      </c>
    </row>
    <row r="7">
      <c r="A7" s="17" t="s">
        <v>22</v>
      </c>
      <c r="C7" s="9" t="str">
        <f>IF(Shield&lt;&gt;"",Shield&amp;" "&amp;ShieldBalance,"N/A")</f>
        <v>N/A</v>
      </c>
    </row>
    <row r="8">
      <c r="A8" s="25" t="s">
        <v>24</v>
      </c>
      <c r="E8" s="12" t="str">
        <f>IFERROR(__xludf.DUMMYFUNCTION("iferror(join("", "", FILTER(sort(atkFore), NOT(atkFore = """") )),""N/A"")"),"N/A")</f>
        <v>N/A</v>
      </c>
    </row>
    <row r="9">
      <c r="A9" s="27" t="s">
        <v>25</v>
      </c>
      <c r="D9" s="12" t="str">
        <f>IFERROR(__xludf.DUMMYFUNCTION("iferror(join("", "", FILTER(sort(atkPort), NOT(atkPort = """") )),""N/A"")"),"N/A")</f>
        <v>N/A</v>
      </c>
    </row>
    <row r="10">
      <c r="A10" s="27" t="s">
        <v>27</v>
      </c>
      <c r="E10" s="12" t="str">
        <f>IFERROR(__xludf.DUMMYFUNCTION("iferror(join("", "", FILTER(sort(atkStarboard), NOT(atkStarboard = """") )),""N/A"")"),"N/A")</f>
        <v>N/A</v>
      </c>
    </row>
    <row r="11">
      <c r="A11" s="27" t="s">
        <v>28</v>
      </c>
      <c r="D11" s="12" t="str">
        <f>IFERROR(__xludf.DUMMYFUNCTION("iferror(join("", "", FILTER(sort(atkAft), NOT(atkAft = """") )),""N/A"")"),"N/A")</f>
        <v>N/A</v>
      </c>
    </row>
    <row r="12">
      <c r="A12" s="25" t="s">
        <v>30</v>
      </c>
      <c r="E12" s="12" t="str">
        <f>IFERROR(__xludf.DUMMYFUNCTION("iferror(join("", "", FILTER(sort(atkTurret), NOT(atkTurret = """") )),""N/A"")"),"N/A")</f>
        <v>N/A</v>
      </c>
    </row>
    <row r="13">
      <c r="A13" s="25" t="str">
        <f>"Power Core"&amp;if(Core2&lt;&gt;"","s","")</f>
        <v>Power Core</v>
      </c>
      <c r="D13" s="9" t="str">
        <f>Core1&amp;if(Core2&lt;&gt;"","; "&amp;Core2,"")</f>
        <v/>
      </c>
      <c r="I13" s="25" t="s">
        <v>32</v>
      </c>
      <c r="L13" s="31" t="str">
        <f>Drift</f>
        <v/>
      </c>
    </row>
    <row r="14">
      <c r="A14" s="25" t="s">
        <v>36</v>
      </c>
      <c r="C14" s="23" t="str">
        <f>IFERROR(__xludf.DUMMYFUNCTION("iferror(join("", "", FILTER(sort(otherSystems), NOT(or(otherSystems = """",otherSystems=""-"") )),""N/A""))"),"")</f>
        <v/>
      </c>
    </row>
    <row r="15">
      <c r="A15" s="33" t="s">
        <v>38</v>
      </c>
      <c r="E15" s="23" t="str">
        <f>IFERROR(__xludf.DUMMYFUNCTION("iferror(join("", "", FILTER(sort(baysSortedList), NOT(baysSortedList = """") )),""N/A"")"),"N/A")</f>
        <v>N/A</v>
      </c>
    </row>
    <row r="16">
      <c r="A16" s="25" t="s">
        <v>39</v>
      </c>
      <c r="D16" s="23" t="str">
        <f>IFERROR(__xludf.DUMMYFUNCTION("iferror(join("", "", FILTER(sort(Modifiers), NOT(Modifiers = """") )),""N/A"")"),"0, 0 Piloting")</f>
        <v>0, 0 Piloting</v>
      </c>
    </row>
    <row r="17">
      <c r="A17" s="25" t="s">
        <v>42</v>
      </c>
      <c r="D17" s="37" t="str">
        <f>CrewMin&amp;"-"&amp;CrewMax</f>
        <v>0-0</v>
      </c>
    </row>
  </sheetData>
  <mergeCells count="34">
    <mergeCell ref="E8:Q8"/>
    <mergeCell ref="A8:D8"/>
    <mergeCell ref="A13:C13"/>
    <mergeCell ref="C7:Q7"/>
    <mergeCell ref="A9:C9"/>
    <mergeCell ref="A7:B7"/>
    <mergeCell ref="D9:Q9"/>
    <mergeCell ref="D13:H13"/>
    <mergeCell ref="C14:Q14"/>
    <mergeCell ref="A14:B14"/>
    <mergeCell ref="A16:C16"/>
    <mergeCell ref="A17:C17"/>
    <mergeCell ref="D16:Q16"/>
    <mergeCell ref="D17:Q17"/>
    <mergeCell ref="D11:Q11"/>
    <mergeCell ref="A11:C11"/>
    <mergeCell ref="E10:Q10"/>
    <mergeCell ref="A10:D10"/>
    <mergeCell ref="E12:Q12"/>
    <mergeCell ref="A12:D12"/>
    <mergeCell ref="A15:D15"/>
    <mergeCell ref="E15:Q15"/>
    <mergeCell ref="N4:Q4"/>
    <mergeCell ref="O2:P2"/>
    <mergeCell ref="A3:Q3"/>
    <mergeCell ref="H4:K4"/>
    <mergeCell ref="L4:M4"/>
    <mergeCell ref="D4:G4"/>
    <mergeCell ref="A4:B4"/>
    <mergeCell ref="A1:Q1"/>
    <mergeCell ref="F6:Q6"/>
    <mergeCell ref="D5:Q5"/>
    <mergeCell ref="L13:Q13"/>
    <mergeCell ref="I13:K13"/>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C9DAF8"/>
  </sheetPr>
  <sheetViews>
    <sheetView workbookViewId="0">
      <pane ySplit="2.0" topLeftCell="A3" activePane="bottomLeft" state="frozen"/>
      <selection activeCell="B4" sqref="B4" pane="bottomLeft"/>
    </sheetView>
  </sheetViews>
  <sheetFormatPr customHeight="1" defaultColWidth="14.43" defaultRowHeight="15.75"/>
  <cols>
    <col customWidth="1" min="1" max="34" width="4.43"/>
  </cols>
  <sheetData>
    <row r="1" ht="22.5" customHeight="1">
      <c r="A1" s="48"/>
      <c r="B1" s="50" t="s">
        <v>46</v>
      </c>
      <c r="C1" s="52"/>
      <c r="D1" s="52"/>
      <c r="E1" s="52"/>
      <c r="F1" s="52"/>
      <c r="G1" s="52"/>
      <c r="H1" s="54"/>
      <c r="I1" s="58"/>
      <c r="J1" s="60"/>
      <c r="K1" s="48"/>
      <c r="L1" s="48"/>
      <c r="M1" s="62" t="s">
        <v>62</v>
      </c>
      <c r="N1" s="63"/>
      <c r="O1" s="65" t="s">
        <v>67</v>
      </c>
      <c r="P1" s="67"/>
      <c r="Q1" s="68"/>
      <c r="R1" s="70" t="s">
        <v>72</v>
      </c>
      <c r="S1" s="67"/>
      <c r="T1" s="67"/>
      <c r="U1" s="67"/>
      <c r="V1" s="67"/>
      <c r="W1" s="67"/>
      <c r="X1" s="67"/>
      <c r="Y1" s="67"/>
      <c r="Z1" s="67"/>
      <c r="AA1" s="67"/>
      <c r="AB1" s="67"/>
      <c r="AC1" s="67"/>
      <c r="AD1" s="67"/>
      <c r="AE1" s="67"/>
      <c r="AF1" s="67"/>
      <c r="AG1" s="67"/>
      <c r="AH1" s="68"/>
    </row>
    <row r="2" ht="22.5" customHeight="1">
      <c r="A2" s="71"/>
      <c r="B2" s="72" t="str">
        <f>ShipName</f>
        <v/>
      </c>
      <c r="C2" s="73"/>
      <c r="D2" s="73"/>
      <c r="E2" s="73"/>
      <c r="F2" s="73"/>
      <c r="G2" s="73"/>
      <c r="H2" s="73"/>
      <c r="I2" s="73"/>
      <c r="J2" s="74"/>
      <c r="K2" s="71"/>
      <c r="L2" s="71"/>
      <c r="M2" s="76" t="str">
        <f>Tier</f>
        <v/>
      </c>
      <c r="N2" s="71"/>
      <c r="O2" s="77"/>
      <c r="P2" s="79"/>
      <c r="Q2" s="80"/>
      <c r="R2" s="77"/>
      <c r="S2" s="79"/>
      <c r="T2" s="79"/>
      <c r="U2" s="79"/>
      <c r="V2" s="79"/>
      <c r="W2" s="79"/>
      <c r="X2" s="79"/>
      <c r="Y2" s="79"/>
      <c r="Z2" s="79"/>
      <c r="AA2" s="79"/>
      <c r="AB2" s="79"/>
      <c r="AC2" s="79"/>
      <c r="AD2" s="79"/>
      <c r="AE2" s="79"/>
      <c r="AF2" s="79"/>
      <c r="AG2" s="79"/>
      <c r="AH2" s="80"/>
    </row>
    <row r="3" ht="22.5" customHeight="1">
      <c r="A3" s="71"/>
      <c r="B3" s="81" t="s">
        <v>47</v>
      </c>
      <c r="N3" s="71"/>
      <c r="O3" s="71"/>
      <c r="P3" s="71"/>
      <c r="Q3" s="71"/>
      <c r="R3" s="71"/>
      <c r="S3" s="71"/>
      <c r="T3" s="71"/>
      <c r="U3" s="71"/>
      <c r="V3" s="71"/>
      <c r="W3" s="71"/>
      <c r="X3" s="71"/>
      <c r="Y3" s="82" t="s">
        <v>7</v>
      </c>
      <c r="Z3" s="83"/>
      <c r="AA3" s="83" t="s">
        <v>92</v>
      </c>
      <c r="AB3" s="84"/>
      <c r="AC3" s="83" t="s">
        <v>93</v>
      </c>
      <c r="AD3" s="84"/>
      <c r="AE3" s="83" t="s">
        <v>94</v>
      </c>
      <c r="AF3" s="84"/>
      <c r="AG3" s="83" t="s">
        <v>95</v>
      </c>
      <c r="AH3" s="83"/>
    </row>
    <row r="4" ht="22.5" customHeight="1">
      <c r="A4" s="71"/>
      <c r="B4" s="72" t="str">
        <f>MakeModel</f>
        <v/>
      </c>
      <c r="C4" s="73"/>
      <c r="D4" s="73"/>
      <c r="E4" s="73"/>
      <c r="F4" s="73"/>
      <c r="G4" s="73"/>
      <c r="H4" s="73"/>
      <c r="I4" s="73"/>
      <c r="J4" s="73"/>
      <c r="K4" s="73"/>
      <c r="L4" s="73"/>
      <c r="M4" s="74"/>
      <c r="N4" s="71"/>
      <c r="O4" s="71"/>
      <c r="P4" s="71"/>
      <c r="Q4" s="71"/>
      <c r="R4" s="71"/>
      <c r="S4" s="71"/>
      <c r="T4" s="71"/>
      <c r="U4" s="71"/>
      <c r="V4" s="71"/>
      <c r="W4" s="71"/>
      <c r="X4" s="87" t="s">
        <v>14</v>
      </c>
      <c r="Y4" s="88">
        <f>ACtotal</f>
        <v>10</v>
      </c>
      <c r="Z4" s="89" t="s">
        <v>104</v>
      </c>
      <c r="AA4" s="90"/>
      <c r="AB4" s="84" t="s">
        <v>106</v>
      </c>
      <c r="AC4" s="88">
        <f>ArmorBonus</f>
        <v>0</v>
      </c>
      <c r="AD4" s="84" t="s">
        <v>106</v>
      </c>
      <c r="AE4" s="88" t="str">
        <f>SizeBonus</f>
        <v/>
      </c>
      <c r="AF4" s="84" t="s">
        <v>106</v>
      </c>
      <c r="AG4" s="91"/>
      <c r="AH4" s="71"/>
    </row>
    <row r="5" ht="22.5" customHeight="1">
      <c r="A5" s="71"/>
      <c r="B5" s="81" t="s">
        <v>63</v>
      </c>
      <c r="E5" s="71"/>
      <c r="F5" s="81" t="s">
        <v>108</v>
      </c>
      <c r="L5" s="71"/>
      <c r="M5" s="71"/>
      <c r="N5" s="71"/>
      <c r="O5" s="71"/>
      <c r="P5" s="71"/>
      <c r="Q5" s="71"/>
      <c r="R5" s="71"/>
      <c r="S5" s="71"/>
      <c r="T5" s="71"/>
      <c r="U5" s="71"/>
      <c r="V5" s="71"/>
      <c r="W5" s="71"/>
      <c r="X5" s="71"/>
      <c r="Y5" s="82" t="s">
        <v>7</v>
      </c>
      <c r="Z5" s="83"/>
      <c r="AA5" s="83" t="s">
        <v>92</v>
      </c>
      <c r="AB5" s="84"/>
      <c r="AC5" s="83" t="s">
        <v>109</v>
      </c>
      <c r="AD5" s="84"/>
      <c r="AE5" s="83" t="s">
        <v>94</v>
      </c>
      <c r="AF5" s="84"/>
      <c r="AG5" s="83" t="s">
        <v>95</v>
      </c>
      <c r="AH5" s="83"/>
    </row>
    <row r="6" ht="22.5" customHeight="1">
      <c r="A6" s="71"/>
      <c r="B6" s="72" t="str">
        <f>ShipSize</f>
        <v>-</v>
      </c>
      <c r="C6" s="73"/>
      <c r="D6" s="74"/>
      <c r="E6" s="71"/>
      <c r="F6" s="72" t="str">
        <f>Frame</f>
        <v/>
      </c>
      <c r="G6" s="73"/>
      <c r="H6" s="73"/>
      <c r="I6" s="73"/>
      <c r="J6" s="73"/>
      <c r="K6" s="74"/>
      <c r="L6" s="71"/>
      <c r="M6" s="71"/>
      <c r="N6" s="71"/>
      <c r="O6" s="71"/>
      <c r="P6" s="71"/>
      <c r="Q6" s="71"/>
      <c r="R6" s="71"/>
      <c r="S6" s="71"/>
      <c r="T6" s="71"/>
      <c r="U6" s="71"/>
      <c r="V6" s="71"/>
      <c r="W6" s="71"/>
      <c r="X6" s="87" t="s">
        <v>15</v>
      </c>
      <c r="Y6" s="88">
        <f>TLtotal</f>
        <v>10</v>
      </c>
      <c r="Z6" s="89" t="s">
        <v>104</v>
      </c>
      <c r="AA6" s="88" t="str">
        <f>PilotBonus</f>
        <v/>
      </c>
      <c r="AB6" s="84" t="s">
        <v>106</v>
      </c>
      <c r="AC6" s="88">
        <f>Countermeasures</f>
        <v>0</v>
      </c>
      <c r="AD6" s="71" t="s">
        <v>106</v>
      </c>
      <c r="AE6" s="88" t="str">
        <f>SizeBonus</f>
        <v/>
      </c>
      <c r="AF6" s="84" t="s">
        <v>106</v>
      </c>
      <c r="AG6" s="91"/>
      <c r="AH6" s="71"/>
    </row>
    <row r="7" ht="22.5" customHeight="1">
      <c r="A7" s="71"/>
      <c r="B7" s="81" t="s">
        <v>113</v>
      </c>
      <c r="I7" s="71"/>
      <c r="J7" s="71"/>
      <c r="K7" s="71"/>
      <c r="L7" s="71"/>
      <c r="M7" s="71"/>
      <c r="N7" s="71"/>
      <c r="O7" s="71"/>
      <c r="P7" s="71"/>
      <c r="Q7" s="71"/>
      <c r="R7" s="71"/>
      <c r="S7" s="71"/>
      <c r="T7" s="71"/>
      <c r="U7" s="71"/>
      <c r="V7" s="71"/>
      <c r="W7" s="71"/>
      <c r="X7" s="71"/>
      <c r="Y7" s="71"/>
      <c r="Z7" s="71"/>
      <c r="AA7" s="94" t="s">
        <v>7</v>
      </c>
      <c r="AD7" s="71"/>
      <c r="AE7" s="95" t="s">
        <v>114</v>
      </c>
      <c r="AH7" s="71"/>
    </row>
    <row r="8" ht="22.5" customHeight="1">
      <c r="A8" s="71"/>
      <c r="B8" s="72">
        <f>Speed</f>
        <v>0</v>
      </c>
      <c r="C8" s="73"/>
      <c r="D8" s="73"/>
      <c r="E8" s="73"/>
      <c r="F8" s="73"/>
      <c r="G8" s="73"/>
      <c r="H8" s="74"/>
      <c r="I8" s="71"/>
      <c r="J8" s="71"/>
      <c r="K8" s="71"/>
      <c r="L8" s="71"/>
      <c r="M8" s="71"/>
      <c r="N8" s="71"/>
      <c r="O8" s="71"/>
      <c r="P8" s="71"/>
      <c r="Q8" s="71"/>
      <c r="R8" s="71"/>
      <c r="S8" s="71"/>
      <c r="T8" s="71"/>
      <c r="U8" s="71"/>
      <c r="V8" s="71"/>
      <c r="W8" s="71"/>
      <c r="X8" s="71"/>
      <c r="Y8" s="97" t="s">
        <v>116</v>
      </c>
      <c r="Z8" s="80"/>
      <c r="AA8" s="99">
        <f>HPtotal</f>
        <v>0</v>
      </c>
      <c r="AB8" s="73"/>
      <c r="AC8" s="74"/>
      <c r="AD8" s="71"/>
      <c r="AE8" s="100"/>
      <c r="AF8" s="73"/>
      <c r="AG8" s="74"/>
      <c r="AH8" s="71"/>
    </row>
    <row r="9" ht="22.5" customHeight="1">
      <c r="A9" s="71"/>
      <c r="B9" s="81" t="s">
        <v>74</v>
      </c>
      <c r="I9" s="71"/>
      <c r="J9" s="71"/>
      <c r="K9" s="71"/>
      <c r="L9" s="71"/>
      <c r="M9" s="71"/>
      <c r="N9" s="71"/>
      <c r="O9" s="71"/>
      <c r="P9" s="71"/>
      <c r="Q9" s="71"/>
      <c r="R9" s="71"/>
      <c r="S9" s="71"/>
      <c r="T9" s="71"/>
      <c r="U9" s="71"/>
      <c r="V9" s="71"/>
      <c r="W9" s="71"/>
      <c r="X9" s="71"/>
      <c r="Y9" s="71"/>
      <c r="Z9" s="71"/>
      <c r="AA9" s="101" t="s">
        <v>136</v>
      </c>
      <c r="AD9" s="71"/>
      <c r="AE9" s="101" t="s">
        <v>137</v>
      </c>
      <c r="AH9" s="71"/>
    </row>
    <row r="10" ht="22.5" customHeight="1">
      <c r="A10" s="71"/>
      <c r="B10" s="72" t="str">
        <f>ManeuverabilityTurn</f>
        <v>Perfect (turn 0)</v>
      </c>
      <c r="C10" s="73"/>
      <c r="D10" s="73"/>
      <c r="E10" s="73"/>
      <c r="F10" s="73"/>
      <c r="G10" s="73"/>
      <c r="H10" s="74"/>
      <c r="I10" s="71"/>
      <c r="J10" s="71"/>
      <c r="K10" s="71"/>
      <c r="L10" s="71"/>
      <c r="M10" s="71"/>
      <c r="N10" s="71"/>
      <c r="O10" s="71"/>
      <c r="P10" s="71"/>
      <c r="Q10" s="71"/>
      <c r="R10" s="71"/>
      <c r="S10" s="71"/>
      <c r="T10" s="71"/>
      <c r="U10" s="71"/>
      <c r="V10" s="71"/>
      <c r="W10" s="71"/>
      <c r="X10" s="71"/>
      <c r="Y10" s="71"/>
      <c r="Z10" s="71"/>
      <c r="AA10" s="99" t="str">
        <f>BaseDT</f>
        <v>-</v>
      </c>
      <c r="AB10" s="73"/>
      <c r="AC10" s="74"/>
      <c r="AD10" s="71"/>
      <c r="AE10" s="99">
        <f>CTtotal</f>
        <v>0</v>
      </c>
      <c r="AF10" s="73"/>
      <c r="AG10" s="74"/>
      <c r="AH10" s="71"/>
    </row>
    <row r="11" ht="22.5" customHeight="1">
      <c r="A11" s="71"/>
      <c r="B11" s="81" t="s">
        <v>140</v>
      </c>
      <c r="F11" s="71"/>
      <c r="G11" s="71"/>
      <c r="H11" s="71"/>
      <c r="I11" s="71"/>
      <c r="J11" s="71"/>
      <c r="K11" s="71"/>
      <c r="L11" s="71"/>
      <c r="M11" s="71"/>
      <c r="N11" s="71"/>
      <c r="O11" s="71"/>
      <c r="P11" s="71"/>
      <c r="Q11" s="71"/>
      <c r="R11" s="71"/>
      <c r="S11" s="71"/>
      <c r="T11" s="71"/>
      <c r="U11" s="71"/>
      <c r="V11" s="71"/>
      <c r="W11" s="71"/>
      <c r="X11" s="71"/>
      <c r="Y11" s="71"/>
      <c r="Z11" s="71"/>
      <c r="AA11" s="101" t="s">
        <v>141</v>
      </c>
      <c r="AD11" s="103"/>
      <c r="AE11" s="101" t="s">
        <v>143</v>
      </c>
      <c r="AH11" s="71"/>
    </row>
    <row r="12" ht="22.5" customHeight="1">
      <c r="A12" s="71"/>
      <c r="B12" s="72">
        <f>DriftRating</f>
        <v>0</v>
      </c>
      <c r="C12" s="73"/>
      <c r="D12" s="73"/>
      <c r="E12" s="74"/>
      <c r="F12" s="71"/>
      <c r="G12" s="71"/>
      <c r="H12" s="71"/>
      <c r="I12" s="71"/>
      <c r="J12" s="71"/>
      <c r="K12" s="71"/>
      <c r="L12" s="71"/>
      <c r="M12" s="71"/>
      <c r="N12" s="71"/>
      <c r="O12" s="71"/>
      <c r="P12" s="71"/>
      <c r="Q12" s="71"/>
      <c r="R12" s="71"/>
      <c r="S12" s="71"/>
      <c r="T12" s="71"/>
      <c r="U12" s="71"/>
      <c r="V12" s="71"/>
      <c r="W12" s="71"/>
      <c r="X12" s="71"/>
      <c r="Y12" s="71"/>
      <c r="Z12" s="71"/>
      <c r="AA12" s="99">
        <f>ShieldSPTotal</f>
        <v>0</v>
      </c>
      <c r="AB12" s="73"/>
      <c r="AC12" s="74"/>
      <c r="AD12" s="71"/>
      <c r="AE12" s="99">
        <f>ShieldRegenTotal</f>
        <v>0</v>
      </c>
      <c r="AF12" s="73"/>
      <c r="AG12" s="74"/>
      <c r="AH12" s="71"/>
    </row>
    <row r="13" ht="22.5" customHeight="1">
      <c r="A13" s="71"/>
      <c r="B13" s="71"/>
      <c r="C13" s="71"/>
      <c r="D13" s="71"/>
      <c r="E13" s="71"/>
      <c r="F13" s="71"/>
      <c r="G13" s="71"/>
      <c r="H13" s="71"/>
      <c r="I13" s="71"/>
      <c r="J13" s="71"/>
      <c r="K13" s="71"/>
      <c r="L13" s="71"/>
      <c r="M13" s="71"/>
      <c r="N13" s="71"/>
      <c r="O13" s="71"/>
      <c r="P13" s="71"/>
      <c r="Q13" s="71"/>
      <c r="R13" s="71"/>
      <c r="S13" s="71"/>
      <c r="T13" s="71"/>
      <c r="U13" s="71"/>
      <c r="V13" s="71"/>
      <c r="W13" s="71"/>
      <c r="X13" s="71"/>
      <c r="Y13" s="71"/>
      <c r="Z13" s="71"/>
      <c r="AA13" s="104" t="s">
        <v>151</v>
      </c>
      <c r="AH13" s="71"/>
    </row>
    <row r="14" ht="22.5" customHeight="1">
      <c r="A14" s="71"/>
      <c r="B14" s="71"/>
      <c r="C14" s="71"/>
      <c r="D14" s="71"/>
      <c r="E14" s="71"/>
      <c r="F14" s="71"/>
      <c r="G14" s="71"/>
      <c r="H14" s="71"/>
      <c r="I14" s="71"/>
      <c r="J14" s="71"/>
      <c r="K14" s="71"/>
      <c r="L14" s="71"/>
      <c r="M14" s="71"/>
      <c r="N14" s="71"/>
      <c r="O14" s="71"/>
      <c r="P14" s="71"/>
      <c r="Q14" s="71"/>
      <c r="R14" s="71"/>
      <c r="S14" s="71"/>
      <c r="T14" s="71"/>
      <c r="U14" s="71"/>
      <c r="V14" s="71"/>
      <c r="W14" s="71"/>
      <c r="X14" s="71"/>
      <c r="Y14" s="71"/>
      <c r="Z14" s="71"/>
      <c r="AA14" s="105" t="str">
        <f>IFERROR(__xludf.DUMMYFUNCTION("iferror(join("", "", FILTER(sort(Modifiers), NOT(Modifiers = """") )),""N/A"")"),"0, 0 Piloting")</f>
        <v>0, 0 Piloting</v>
      </c>
      <c r="AB14" s="106"/>
      <c r="AC14" s="106"/>
      <c r="AD14" s="106"/>
      <c r="AE14" s="106"/>
      <c r="AF14" s="106"/>
      <c r="AG14" s="107"/>
      <c r="AH14" s="71"/>
    </row>
    <row r="15" ht="22.5" customHeight="1">
      <c r="A15" s="71"/>
      <c r="B15" s="71"/>
      <c r="C15" s="71"/>
      <c r="D15" s="71"/>
      <c r="E15" s="71"/>
      <c r="F15" s="71"/>
      <c r="G15" s="71"/>
      <c r="H15" s="71"/>
      <c r="I15" s="71"/>
      <c r="J15" s="71"/>
      <c r="K15" s="71"/>
      <c r="L15" s="71"/>
      <c r="M15" s="71"/>
      <c r="N15" s="71"/>
      <c r="O15" s="71"/>
      <c r="P15" s="71"/>
      <c r="Q15" s="71"/>
      <c r="R15" s="71"/>
      <c r="S15" s="71"/>
      <c r="T15" s="71"/>
      <c r="U15" s="71"/>
      <c r="V15" s="71"/>
      <c r="W15" s="71"/>
      <c r="X15" s="71"/>
      <c r="Y15" s="71"/>
      <c r="Z15" s="71"/>
      <c r="AA15" s="108"/>
      <c r="AB15" s="109"/>
      <c r="AC15" s="109"/>
      <c r="AD15" s="109"/>
      <c r="AE15" s="109"/>
      <c r="AF15" s="109"/>
      <c r="AG15" s="110"/>
      <c r="AH15" s="71"/>
    </row>
    <row r="16" ht="22.5" customHeight="1">
      <c r="A16" s="71"/>
      <c r="B16" s="112" t="s">
        <v>166</v>
      </c>
      <c r="C16" s="109"/>
      <c r="D16" s="109"/>
      <c r="E16" s="109"/>
      <c r="F16" s="109"/>
      <c r="G16" s="71"/>
      <c r="H16" s="71"/>
      <c r="I16" s="71"/>
      <c r="J16" s="71"/>
      <c r="K16" s="71"/>
      <c r="L16" s="71"/>
      <c r="M16" s="71"/>
      <c r="N16" s="71"/>
      <c r="O16" s="71"/>
      <c r="P16" s="71"/>
      <c r="Q16" s="71"/>
      <c r="R16" s="71"/>
      <c r="S16" s="71"/>
      <c r="T16" s="71"/>
      <c r="U16" s="71"/>
      <c r="V16" s="71"/>
      <c r="W16" s="71"/>
      <c r="X16" s="71"/>
      <c r="Y16" s="71"/>
      <c r="Z16" s="71"/>
      <c r="AA16" s="71"/>
      <c r="AB16" s="112" t="s">
        <v>167</v>
      </c>
      <c r="AC16" s="109"/>
      <c r="AD16" s="109"/>
      <c r="AE16" s="109"/>
      <c r="AF16" s="109"/>
      <c r="AG16" s="71"/>
      <c r="AH16" s="71"/>
    </row>
    <row r="17" ht="22.5" customHeight="1">
      <c r="A17" s="71"/>
      <c r="B17" s="116" t="str">
        <f t="array" ref="B17:B20">TRANSPOSE(atkFore)</f>
        <v/>
      </c>
      <c r="C17" s="118"/>
      <c r="D17" s="118"/>
      <c r="E17" s="118"/>
      <c r="F17" s="118"/>
      <c r="G17" s="71"/>
      <c r="H17" s="112" t="s">
        <v>173</v>
      </c>
      <c r="I17" s="109"/>
      <c r="J17" s="109"/>
      <c r="K17" s="109"/>
      <c r="L17" s="109"/>
      <c r="M17" s="71"/>
      <c r="N17" s="71"/>
      <c r="O17" s="71"/>
      <c r="P17" s="71"/>
      <c r="Q17" s="71"/>
      <c r="R17" s="71"/>
      <c r="S17" s="71"/>
      <c r="T17" s="71"/>
      <c r="U17" s="71"/>
      <c r="V17" s="112" t="s">
        <v>174</v>
      </c>
      <c r="W17" s="109"/>
      <c r="X17" s="109"/>
      <c r="Y17" s="109"/>
      <c r="Z17" s="109"/>
      <c r="AA17" s="71"/>
      <c r="AB17" s="116" t="str">
        <f t="array" ref="AB17:AB20">TRANSPOSE(atkTurret)</f>
        <v/>
      </c>
      <c r="AC17" s="118"/>
      <c r="AD17" s="118"/>
      <c r="AE17" s="118"/>
      <c r="AF17" s="118"/>
      <c r="AG17" s="71"/>
      <c r="AH17" s="71"/>
    </row>
    <row r="18" ht="22.5" customHeight="1">
      <c r="A18" s="71"/>
      <c r="B18" s="122" t="s">
        <v>177</v>
      </c>
      <c r="C18" s="124"/>
      <c r="D18" s="124"/>
      <c r="E18" s="124"/>
      <c r="F18" s="124"/>
      <c r="G18" s="71"/>
      <c r="H18" s="116" t="str">
        <f t="array" ref="H18:H21">TRANSPOSE(atkPort)</f>
        <v/>
      </c>
      <c r="I18" s="118"/>
      <c r="J18" s="118"/>
      <c r="K18" s="118"/>
      <c r="L18" s="118"/>
      <c r="M18" s="71"/>
      <c r="N18" s="71"/>
      <c r="O18" s="71"/>
      <c r="P18" s="71"/>
      <c r="Q18" s="71"/>
      <c r="R18" s="71"/>
      <c r="S18" s="71"/>
      <c r="T18" s="71"/>
      <c r="U18" s="71"/>
      <c r="V18" s="116" t="str">
        <f t="array" ref="V18:V21">TRANSPOSE(atkStarboard)</f>
        <v/>
      </c>
      <c r="W18" s="118"/>
      <c r="X18" s="118"/>
      <c r="Y18" s="118"/>
      <c r="Z18" s="118"/>
      <c r="AA18" s="71"/>
      <c r="AB18" s="122" t="s">
        <v>177</v>
      </c>
      <c r="AC18" s="124"/>
      <c r="AD18" s="124"/>
      <c r="AE18" s="124"/>
      <c r="AF18" s="124"/>
      <c r="AG18" s="71"/>
      <c r="AH18" s="71"/>
    </row>
    <row r="19" ht="22.5" customHeight="1">
      <c r="A19" s="71"/>
      <c r="B19" s="122" t="s">
        <v>177</v>
      </c>
      <c r="C19" s="124"/>
      <c r="D19" s="124"/>
      <c r="E19" s="124"/>
      <c r="F19" s="124"/>
      <c r="G19" s="71"/>
      <c r="H19" s="122" t="s">
        <v>177</v>
      </c>
      <c r="I19" s="124"/>
      <c r="J19" s="124"/>
      <c r="K19" s="124"/>
      <c r="L19" s="124"/>
      <c r="M19" s="71"/>
      <c r="N19" s="71"/>
      <c r="O19" s="112" t="s">
        <v>187</v>
      </c>
      <c r="P19" s="109"/>
      <c r="Q19" s="109"/>
      <c r="R19" s="109"/>
      <c r="S19" s="109"/>
      <c r="T19" s="71"/>
      <c r="U19" s="71"/>
      <c r="V19" s="122" t="s">
        <v>177</v>
      </c>
      <c r="W19" s="124"/>
      <c r="X19" s="124"/>
      <c r="Y19" s="124"/>
      <c r="Z19" s="124"/>
      <c r="AA19" s="71"/>
      <c r="AB19" s="122" t="s">
        <v>177</v>
      </c>
      <c r="AC19" s="124"/>
      <c r="AD19" s="124"/>
      <c r="AE19" s="124"/>
      <c r="AF19" s="124"/>
      <c r="AG19" s="71"/>
      <c r="AH19" s="71"/>
    </row>
    <row r="20" ht="22.5" customHeight="1">
      <c r="A20" s="71"/>
      <c r="B20" s="122" t="s">
        <v>177</v>
      </c>
      <c r="C20" s="124"/>
      <c r="D20" s="124"/>
      <c r="E20" s="124"/>
      <c r="F20" s="124"/>
      <c r="G20" s="71"/>
      <c r="H20" s="122" t="s">
        <v>177</v>
      </c>
      <c r="I20" s="124"/>
      <c r="J20" s="124"/>
      <c r="K20" s="124"/>
      <c r="L20" s="124"/>
      <c r="M20" s="71"/>
      <c r="N20" s="71"/>
      <c r="O20" s="116" t="str">
        <f t="array" ref="O20:O23">TRANSPOSE(atkAft)</f>
        <v/>
      </c>
      <c r="P20" s="118"/>
      <c r="Q20" s="118"/>
      <c r="R20" s="118"/>
      <c r="S20" s="118"/>
      <c r="T20" s="71"/>
      <c r="U20" s="71"/>
      <c r="V20" s="122" t="s">
        <v>177</v>
      </c>
      <c r="W20" s="124"/>
      <c r="X20" s="124"/>
      <c r="Y20" s="124"/>
      <c r="Z20" s="124"/>
      <c r="AA20" s="71"/>
      <c r="AB20" s="122" t="s">
        <v>177</v>
      </c>
      <c r="AC20" s="124"/>
      <c r="AD20" s="124"/>
      <c r="AE20" s="124"/>
      <c r="AF20" s="124"/>
      <c r="AG20" s="71"/>
      <c r="AH20" s="71"/>
    </row>
    <row r="21" ht="22.5" customHeight="1">
      <c r="A21" s="71"/>
      <c r="B21" s="71"/>
      <c r="C21" s="71"/>
      <c r="D21" s="71"/>
      <c r="E21" s="71"/>
      <c r="F21" s="71"/>
      <c r="G21" s="71"/>
      <c r="H21" s="122" t="s">
        <v>177</v>
      </c>
      <c r="I21" s="124"/>
      <c r="J21" s="124"/>
      <c r="K21" s="124"/>
      <c r="L21" s="124"/>
      <c r="M21" s="71"/>
      <c r="N21" s="71"/>
      <c r="O21" s="122" t="s">
        <v>177</v>
      </c>
      <c r="P21" s="124"/>
      <c r="Q21" s="124"/>
      <c r="R21" s="124"/>
      <c r="S21" s="124"/>
      <c r="T21" s="71"/>
      <c r="U21" s="71"/>
      <c r="V21" s="122" t="s">
        <v>177</v>
      </c>
      <c r="W21" s="124"/>
      <c r="X21" s="124"/>
      <c r="Y21" s="124"/>
      <c r="Z21" s="124"/>
      <c r="AA21" s="71"/>
      <c r="AB21" s="71"/>
      <c r="AC21" s="71"/>
      <c r="AD21" s="71"/>
      <c r="AE21" s="71"/>
      <c r="AF21" s="71"/>
      <c r="AG21" s="71"/>
      <c r="AH21" s="71"/>
    </row>
    <row r="22" ht="22.5" customHeight="1">
      <c r="A22" s="71"/>
      <c r="B22" s="71"/>
      <c r="C22" s="71"/>
      <c r="D22" s="71"/>
      <c r="E22" s="71"/>
      <c r="F22" s="71"/>
      <c r="G22" s="71"/>
      <c r="H22" s="71"/>
      <c r="I22" s="71"/>
      <c r="J22" s="71"/>
      <c r="K22" s="71"/>
      <c r="L22" s="71"/>
      <c r="M22" s="71"/>
      <c r="N22" s="71"/>
      <c r="O22" s="122" t="s">
        <v>177</v>
      </c>
      <c r="P22" s="124"/>
      <c r="Q22" s="124"/>
      <c r="R22" s="124"/>
      <c r="S22" s="124"/>
      <c r="T22" s="71"/>
      <c r="U22" s="71"/>
      <c r="V22" s="71"/>
      <c r="W22" s="71"/>
      <c r="X22" s="71"/>
      <c r="Y22" s="71"/>
      <c r="Z22" s="71"/>
      <c r="AA22" s="71"/>
      <c r="AB22" s="71"/>
      <c r="AC22" s="71"/>
      <c r="AD22" s="71"/>
      <c r="AE22" s="71"/>
      <c r="AF22" s="71"/>
      <c r="AG22" s="71"/>
      <c r="AH22" s="71"/>
    </row>
    <row r="23" ht="22.5" customHeight="1">
      <c r="A23" s="71"/>
      <c r="B23" s="71"/>
      <c r="C23" s="71"/>
      <c r="D23" s="71"/>
      <c r="E23" s="71"/>
      <c r="F23" s="71"/>
      <c r="G23" s="71"/>
      <c r="H23" s="71"/>
      <c r="I23" s="71"/>
      <c r="J23" s="71"/>
      <c r="K23" s="71"/>
      <c r="L23" s="71"/>
      <c r="M23" s="71"/>
      <c r="N23" s="71"/>
      <c r="O23" s="122" t="s">
        <v>177</v>
      </c>
      <c r="P23" s="124"/>
      <c r="Q23" s="124"/>
      <c r="R23" s="124"/>
      <c r="S23" s="124"/>
      <c r="T23" s="71"/>
      <c r="U23" s="71"/>
      <c r="V23" s="71"/>
      <c r="W23" s="71"/>
      <c r="X23" s="71"/>
      <c r="Y23" s="71"/>
      <c r="Z23" s="71"/>
      <c r="AA23" s="71"/>
      <c r="AB23" s="71"/>
      <c r="AC23" s="71"/>
      <c r="AD23" s="71"/>
      <c r="AE23" s="71"/>
      <c r="AF23" s="71"/>
      <c r="AG23" s="71"/>
      <c r="AH23" s="71"/>
    </row>
    <row r="24" ht="22.5" customHeight="1">
      <c r="A24" s="71"/>
      <c r="B24" s="71"/>
      <c r="C24" s="71"/>
      <c r="D24" s="71"/>
      <c r="E24" s="71"/>
      <c r="F24" s="71"/>
      <c r="G24" s="71"/>
      <c r="H24" s="71"/>
      <c r="I24" s="71"/>
      <c r="J24" s="134"/>
      <c r="K24" s="134"/>
      <c r="L24" s="71"/>
      <c r="M24" s="71"/>
      <c r="N24" s="71"/>
      <c r="O24" s="71"/>
      <c r="P24" s="71"/>
      <c r="Q24" s="71"/>
      <c r="R24" s="71"/>
      <c r="S24" s="135"/>
      <c r="T24" s="71"/>
      <c r="U24" s="71"/>
      <c r="V24" s="71"/>
      <c r="W24" s="71"/>
      <c r="X24" s="71"/>
      <c r="Y24" s="71"/>
      <c r="Z24" s="71"/>
      <c r="AA24" s="71"/>
      <c r="AB24" s="71"/>
      <c r="AC24" s="71"/>
      <c r="AD24" s="71"/>
      <c r="AE24" s="71"/>
      <c r="AF24" s="71"/>
      <c r="AG24" s="71"/>
      <c r="AH24" s="71"/>
    </row>
    <row r="25" ht="22.5" customHeight="1">
      <c r="A25" s="71"/>
      <c r="B25" s="50" t="s">
        <v>195</v>
      </c>
      <c r="C25" s="52"/>
      <c r="D25" s="52"/>
      <c r="E25" s="52"/>
      <c r="F25" s="52"/>
      <c r="G25" s="52"/>
      <c r="H25" s="54"/>
      <c r="I25" s="136"/>
      <c r="J25" s="137" t="s">
        <v>197</v>
      </c>
      <c r="K25" s="138"/>
      <c r="L25" s="139"/>
      <c r="M25" s="140" t="s">
        <v>91</v>
      </c>
      <c r="N25" s="141"/>
      <c r="O25" s="141"/>
      <c r="P25" s="141"/>
      <c r="Q25" s="141"/>
      <c r="R25" s="141"/>
      <c r="S25" s="141"/>
      <c r="T25" s="71"/>
      <c r="U25" s="71"/>
      <c r="V25" s="71"/>
      <c r="W25" s="71"/>
      <c r="X25" s="71"/>
      <c r="Y25" s="71"/>
      <c r="Z25" s="71"/>
      <c r="AA25" s="71"/>
      <c r="AB25" s="71"/>
      <c r="AC25" s="71"/>
      <c r="AD25" s="71"/>
      <c r="AE25" s="71"/>
      <c r="AF25" s="71"/>
      <c r="AG25" s="71"/>
      <c r="AH25" s="71"/>
    </row>
    <row r="26" ht="22.5" customHeight="1">
      <c r="A26" s="71"/>
      <c r="B26" s="142" t="s">
        <v>200</v>
      </c>
      <c r="C26" s="118"/>
      <c r="D26" s="145"/>
      <c r="E26" s="146"/>
      <c r="F26" s="118"/>
      <c r="G26" s="118"/>
      <c r="H26" s="118"/>
      <c r="I26" s="145"/>
      <c r="J26" s="146"/>
      <c r="K26" s="145"/>
      <c r="L26" s="71"/>
      <c r="M26" s="147"/>
      <c r="N26" s="106"/>
      <c r="O26" s="106"/>
      <c r="P26" s="106"/>
      <c r="Q26" s="106"/>
      <c r="R26" s="106"/>
      <c r="S26" s="106"/>
      <c r="T26" s="106"/>
      <c r="U26" s="106"/>
      <c r="V26" s="106"/>
      <c r="W26" s="106"/>
      <c r="X26" s="106"/>
      <c r="Y26" s="106"/>
      <c r="Z26" s="106"/>
      <c r="AA26" s="106"/>
      <c r="AB26" s="106"/>
      <c r="AC26" s="106"/>
      <c r="AD26" s="106"/>
      <c r="AE26" s="106"/>
      <c r="AF26" s="106"/>
      <c r="AG26" s="107"/>
      <c r="AH26" s="71"/>
    </row>
    <row r="27" ht="22.5" customHeight="1">
      <c r="A27" s="71"/>
      <c r="B27" s="150" t="s">
        <v>204</v>
      </c>
      <c r="C27" s="124"/>
      <c r="D27" s="152"/>
      <c r="E27" s="154"/>
      <c r="F27" s="124"/>
      <c r="G27" s="124"/>
      <c r="H27" s="124"/>
      <c r="I27" s="152"/>
      <c r="J27" s="154"/>
      <c r="K27" s="152"/>
      <c r="L27" s="71"/>
      <c r="M27" s="155"/>
      <c r="AG27" s="156"/>
      <c r="AH27" s="71"/>
    </row>
    <row r="28" ht="22.5" customHeight="1">
      <c r="A28" s="71"/>
      <c r="B28" s="150" t="s">
        <v>205</v>
      </c>
      <c r="C28" s="124"/>
      <c r="D28" s="152"/>
      <c r="E28" s="154"/>
      <c r="F28" s="124"/>
      <c r="G28" s="124"/>
      <c r="H28" s="124"/>
      <c r="I28" s="152"/>
      <c r="J28" s="154"/>
      <c r="K28" s="152"/>
      <c r="L28" s="71"/>
      <c r="M28" s="155"/>
      <c r="AG28" s="156"/>
      <c r="AH28" s="71"/>
    </row>
    <row r="29" ht="22.5" customHeight="1">
      <c r="A29" s="71"/>
      <c r="B29" s="150" t="s">
        <v>206</v>
      </c>
      <c r="C29" s="124"/>
      <c r="D29" s="152"/>
      <c r="E29" s="154"/>
      <c r="F29" s="124"/>
      <c r="G29" s="124"/>
      <c r="H29" s="124"/>
      <c r="I29" s="152"/>
      <c r="J29" s="154"/>
      <c r="K29" s="152"/>
      <c r="L29" s="71"/>
      <c r="M29" s="155"/>
      <c r="AG29" s="156"/>
      <c r="AH29" s="71"/>
    </row>
    <row r="30" ht="22.5" customHeight="1">
      <c r="A30" s="71"/>
      <c r="B30" s="157" t="s">
        <v>207</v>
      </c>
      <c r="C30" s="124"/>
      <c r="D30" s="152"/>
      <c r="E30" s="154"/>
      <c r="F30" s="124"/>
      <c r="G30" s="124"/>
      <c r="H30" s="124"/>
      <c r="I30" s="152"/>
      <c r="J30" s="154"/>
      <c r="K30" s="152"/>
      <c r="L30" s="71"/>
      <c r="M30" s="108"/>
      <c r="N30" s="109"/>
      <c r="O30" s="109"/>
      <c r="P30" s="109"/>
      <c r="Q30" s="109"/>
      <c r="R30" s="109"/>
      <c r="S30" s="109"/>
      <c r="T30" s="109"/>
      <c r="U30" s="109"/>
      <c r="V30" s="109"/>
      <c r="W30" s="109"/>
      <c r="X30" s="109"/>
      <c r="Y30" s="109"/>
      <c r="Z30" s="109"/>
      <c r="AA30" s="109"/>
      <c r="AB30" s="109"/>
      <c r="AC30" s="109"/>
      <c r="AD30" s="109"/>
      <c r="AE30" s="109"/>
      <c r="AF30" s="109"/>
      <c r="AG30" s="110"/>
      <c r="AH30" s="71"/>
    </row>
    <row r="31" ht="22.5" customHeight="1">
      <c r="A31" s="71"/>
      <c r="B31" s="158" t="s">
        <v>158</v>
      </c>
      <c r="G31" s="71"/>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row>
    <row r="32" ht="22.5" customHeight="1">
      <c r="A32" s="71"/>
      <c r="B32" s="159" t="str">
        <f>Drift</f>
        <v/>
      </c>
      <c r="C32" s="73"/>
      <c r="D32" s="73"/>
      <c r="E32" s="73"/>
      <c r="F32" s="74"/>
      <c r="G32" s="71"/>
      <c r="H32" s="71"/>
      <c r="I32" s="71"/>
      <c r="J32" s="140" t="s">
        <v>208</v>
      </c>
      <c r="K32" s="141"/>
      <c r="L32" s="141"/>
      <c r="M32" s="141"/>
      <c r="N32" s="141"/>
      <c r="O32" s="141"/>
      <c r="P32" s="141"/>
      <c r="Q32" s="71"/>
      <c r="R32" s="50" t="s">
        <v>88</v>
      </c>
      <c r="S32" s="52"/>
      <c r="T32" s="52"/>
      <c r="U32" s="52"/>
      <c r="V32" s="52"/>
      <c r="W32" s="52"/>
      <c r="X32" s="52"/>
      <c r="Y32" s="71"/>
      <c r="Z32" s="50" t="s">
        <v>209</v>
      </c>
      <c r="AA32" s="52"/>
      <c r="AB32" s="52"/>
      <c r="AC32" s="52"/>
      <c r="AD32" s="52"/>
      <c r="AE32" s="52"/>
      <c r="AF32" s="52"/>
      <c r="AG32" s="71"/>
      <c r="AH32" s="71"/>
    </row>
    <row r="33" ht="22.5" customHeight="1">
      <c r="A33" s="71"/>
      <c r="B33" s="158" t="s">
        <v>210</v>
      </c>
      <c r="G33" s="71"/>
      <c r="H33" s="71"/>
      <c r="I33" s="71"/>
      <c r="J33" s="105" t="str">
        <f>IFERROR(__xludf.DUMMYFUNCTION("iferror(join("", "", FILTER(sort(otherSystems), NOT(or(otherSystems = """",otherSystems=""-"") )),""N/A""))"),"")</f>
        <v/>
      </c>
      <c r="K33" s="106"/>
      <c r="L33" s="106"/>
      <c r="M33" s="106"/>
      <c r="N33" s="106"/>
      <c r="O33" s="106"/>
      <c r="P33" s="107"/>
      <c r="Q33" s="71"/>
      <c r="R33" s="105" t="str">
        <f>IFERROR(__xludf.DUMMYFUNCTION("iferror(join("", "", FILTER(sort(baysSortedList), NOT(baysSortedList = """") )),""N/A"")"),"N/A")</f>
        <v>N/A</v>
      </c>
      <c r="S33" s="106"/>
      <c r="T33" s="106"/>
      <c r="U33" s="106"/>
      <c r="V33" s="106"/>
      <c r="W33" s="106"/>
      <c r="X33" s="107"/>
      <c r="Y33" s="71"/>
      <c r="Z33" s="160"/>
      <c r="AA33" s="106"/>
      <c r="AB33" s="106"/>
      <c r="AC33" s="106"/>
      <c r="AD33" s="106"/>
      <c r="AE33" s="106"/>
      <c r="AF33" s="107"/>
      <c r="AG33" s="71"/>
      <c r="AH33" s="71"/>
    </row>
    <row r="34" ht="22.5" customHeight="1">
      <c r="A34" s="71"/>
      <c r="B34" s="159" t="str">
        <f>Core1&amp;if(Core2&lt;&gt;"","; "&amp;Core2,"")</f>
        <v/>
      </c>
      <c r="C34" s="73"/>
      <c r="D34" s="73"/>
      <c r="E34" s="73"/>
      <c r="F34" s="74"/>
      <c r="G34" s="71"/>
      <c r="H34" s="71"/>
      <c r="I34" s="71"/>
      <c r="J34" s="155"/>
      <c r="P34" s="156"/>
      <c r="Q34" s="71"/>
      <c r="R34" s="155"/>
      <c r="X34" s="156"/>
      <c r="Y34" s="71"/>
      <c r="Z34" s="155"/>
      <c r="AF34" s="156"/>
      <c r="AG34" s="71"/>
      <c r="AH34" s="71"/>
    </row>
    <row r="35" ht="22.5" customHeight="1">
      <c r="A35" s="71"/>
      <c r="B35" s="71"/>
      <c r="C35" s="71"/>
      <c r="D35" s="71"/>
      <c r="E35" s="71"/>
      <c r="F35" s="71"/>
      <c r="G35" s="71"/>
      <c r="H35" s="71"/>
      <c r="I35" s="71"/>
      <c r="J35" s="155"/>
      <c r="P35" s="156"/>
      <c r="Q35" s="71"/>
      <c r="R35" s="155"/>
      <c r="X35" s="156"/>
      <c r="Y35" s="71"/>
      <c r="Z35" s="155"/>
      <c r="AF35" s="156"/>
      <c r="AG35" s="71"/>
      <c r="AH35" s="71"/>
    </row>
    <row r="36" ht="22.5" customHeight="1">
      <c r="A36" s="71"/>
      <c r="B36" s="71"/>
      <c r="C36" s="71"/>
      <c r="D36" s="71"/>
      <c r="E36" s="71"/>
      <c r="F36" s="71"/>
      <c r="G36" s="71"/>
      <c r="H36" s="71"/>
      <c r="I36" s="71"/>
      <c r="J36" s="155"/>
      <c r="P36" s="156"/>
      <c r="Q36" s="71"/>
      <c r="R36" s="155"/>
      <c r="X36" s="156"/>
      <c r="Y36" s="71"/>
      <c r="Z36" s="155"/>
      <c r="AF36" s="156"/>
      <c r="AG36" s="71"/>
      <c r="AH36" s="71"/>
    </row>
    <row r="37" ht="22.5" customHeight="1">
      <c r="A37" s="71"/>
      <c r="B37" s="71"/>
      <c r="C37" s="71"/>
      <c r="D37" s="71"/>
      <c r="E37" s="71"/>
      <c r="F37" s="71"/>
      <c r="G37" s="71"/>
      <c r="H37" s="71"/>
      <c r="I37" s="71"/>
      <c r="J37" s="108"/>
      <c r="K37" s="109"/>
      <c r="L37" s="109"/>
      <c r="M37" s="109"/>
      <c r="N37" s="109"/>
      <c r="O37" s="109"/>
      <c r="P37" s="110"/>
      <c r="Q37" s="134"/>
      <c r="R37" s="108"/>
      <c r="S37" s="109"/>
      <c r="T37" s="109"/>
      <c r="U37" s="109"/>
      <c r="V37" s="109"/>
      <c r="W37" s="109"/>
      <c r="X37" s="110"/>
      <c r="Y37" s="71"/>
      <c r="Z37" s="108"/>
      <c r="AA37" s="109"/>
      <c r="AB37" s="109"/>
      <c r="AC37" s="109"/>
      <c r="AD37" s="109"/>
      <c r="AE37" s="109"/>
      <c r="AF37" s="110"/>
      <c r="AG37" s="71"/>
      <c r="AH37" s="71"/>
    </row>
    <row r="38" ht="22.5" customHeight="1">
      <c r="A38" s="136"/>
      <c r="B38" s="140" t="s">
        <v>211</v>
      </c>
      <c r="C38" s="141"/>
      <c r="D38" s="141"/>
      <c r="E38" s="141"/>
      <c r="F38" s="141"/>
      <c r="G38" s="141"/>
      <c r="H38" s="161"/>
      <c r="I38" s="162"/>
      <c r="J38" s="163"/>
      <c r="K38" s="163"/>
      <c r="L38" s="163"/>
      <c r="M38" s="163"/>
      <c r="N38" s="163"/>
      <c r="O38" s="163"/>
      <c r="P38" s="163"/>
      <c r="Q38" s="163"/>
      <c r="R38" s="163"/>
      <c r="S38" s="139"/>
      <c r="T38" s="71"/>
      <c r="U38" s="71"/>
      <c r="V38" s="71"/>
      <c r="W38" s="71"/>
      <c r="X38" s="71"/>
      <c r="Y38" s="71"/>
      <c r="Z38" s="71"/>
      <c r="AA38" s="71"/>
      <c r="AB38" s="71"/>
      <c r="AC38" s="71"/>
      <c r="AD38" s="71"/>
      <c r="AE38" s="71"/>
      <c r="AF38" s="71"/>
      <c r="AG38" s="71"/>
      <c r="AH38" s="71"/>
    </row>
    <row r="39" ht="22.5" customHeight="1">
      <c r="A39" s="136"/>
      <c r="B39" s="164" t="s">
        <v>212</v>
      </c>
      <c r="C39" s="165"/>
      <c r="D39" s="165"/>
      <c r="E39" s="165"/>
      <c r="F39" s="165"/>
      <c r="G39" s="165"/>
      <c r="H39" s="166"/>
      <c r="I39" s="167" t="s">
        <v>203</v>
      </c>
      <c r="J39" s="168"/>
      <c r="K39" s="169"/>
      <c r="L39" s="169"/>
      <c r="M39" s="169"/>
      <c r="N39" s="169"/>
      <c r="O39" s="169"/>
      <c r="P39" s="169"/>
      <c r="Q39" s="169"/>
      <c r="R39" s="169"/>
      <c r="S39" s="170"/>
      <c r="T39" s="134"/>
      <c r="U39" s="134"/>
      <c r="V39" s="134"/>
      <c r="W39" s="134"/>
      <c r="X39" s="134"/>
      <c r="Y39" s="134"/>
      <c r="Z39" s="134"/>
      <c r="AA39" s="134"/>
      <c r="AB39" s="134"/>
      <c r="AC39" s="134"/>
      <c r="AD39" s="134"/>
      <c r="AE39" s="134"/>
      <c r="AF39" s="134"/>
      <c r="AG39" s="134"/>
      <c r="AH39" s="71"/>
    </row>
    <row r="40" ht="22.5" customHeight="1">
      <c r="A40" s="136"/>
      <c r="B40" s="171"/>
      <c r="C40" s="172"/>
      <c r="D40" s="109"/>
      <c r="E40" s="109"/>
      <c r="F40" s="109"/>
      <c r="G40" s="109"/>
      <c r="H40" s="173"/>
      <c r="I40" s="174"/>
      <c r="J40" s="175"/>
      <c r="K40" s="176"/>
      <c r="L40" s="176"/>
      <c r="M40" s="176"/>
      <c r="N40" s="176"/>
      <c r="O40" s="176"/>
      <c r="P40" s="176"/>
      <c r="Q40" s="176"/>
      <c r="R40" s="176"/>
      <c r="S40" s="176"/>
      <c r="T40" s="176"/>
      <c r="U40" s="177"/>
      <c r="V40" s="178"/>
      <c r="W40" s="179" t="s">
        <v>213</v>
      </c>
      <c r="X40" s="180"/>
      <c r="Y40" s="180"/>
      <c r="Z40" s="180"/>
      <c r="AA40" s="180"/>
      <c r="AB40" s="180"/>
      <c r="AC40" s="180"/>
      <c r="AD40" s="180"/>
      <c r="AE40" s="180"/>
      <c r="AF40" s="180"/>
      <c r="AG40" s="180"/>
      <c r="AH40" s="181"/>
    </row>
    <row r="41" ht="22.5" customHeight="1">
      <c r="A41" s="136"/>
      <c r="B41" s="164" t="s">
        <v>214</v>
      </c>
      <c r="C41" s="165"/>
      <c r="D41" s="165"/>
      <c r="E41" s="165"/>
      <c r="F41" s="165"/>
      <c r="G41" s="165"/>
      <c r="H41" s="166"/>
      <c r="I41" s="167" t="s">
        <v>203</v>
      </c>
      <c r="J41" s="182"/>
      <c r="K41" s="183" t="s">
        <v>215</v>
      </c>
      <c r="L41" s="184"/>
      <c r="M41" s="184"/>
      <c r="N41" s="185"/>
      <c r="O41" s="186" t="s">
        <v>203</v>
      </c>
      <c r="P41" s="187"/>
      <c r="Q41" s="106"/>
      <c r="R41" s="106"/>
      <c r="S41" s="106"/>
      <c r="T41" s="107"/>
      <c r="U41" s="188"/>
      <c r="V41" s="189"/>
      <c r="W41" s="190" t="s">
        <v>216</v>
      </c>
      <c r="X41" s="191"/>
      <c r="Y41" s="191"/>
      <c r="Z41" s="191"/>
      <c r="AA41" s="191"/>
      <c r="AB41" s="191"/>
      <c r="AC41" s="191"/>
      <c r="AD41" s="191"/>
      <c r="AE41" s="191"/>
      <c r="AF41" s="191"/>
      <c r="AG41" s="191"/>
      <c r="AH41" s="192"/>
    </row>
    <row r="42" ht="22.5" customHeight="1">
      <c r="A42" s="136"/>
      <c r="B42" s="171"/>
      <c r="C42" s="172"/>
      <c r="D42" s="109"/>
      <c r="E42" s="109"/>
      <c r="F42" s="109"/>
      <c r="G42" s="109"/>
      <c r="H42" s="173"/>
      <c r="I42" s="174"/>
      <c r="J42" s="175"/>
      <c r="K42" s="193" t="s">
        <v>217</v>
      </c>
      <c r="L42" s="180"/>
      <c r="M42" s="180"/>
      <c r="N42" s="181"/>
      <c r="O42" s="194" t="s">
        <v>203</v>
      </c>
      <c r="P42" s="195"/>
      <c r="Q42" s="180"/>
      <c r="R42" s="180"/>
      <c r="S42" s="180"/>
      <c r="T42" s="196"/>
      <c r="U42" s="188"/>
      <c r="V42" s="189"/>
      <c r="W42" s="197"/>
      <c r="X42" s="198"/>
      <c r="Y42" s="198"/>
      <c r="Z42" s="198"/>
      <c r="AA42" s="198"/>
      <c r="AB42" s="198"/>
      <c r="AC42" s="198"/>
      <c r="AD42" s="198"/>
      <c r="AE42" s="198"/>
      <c r="AF42" s="198"/>
      <c r="AG42" s="198"/>
      <c r="AH42" s="199"/>
    </row>
    <row r="43" ht="22.5" customHeight="1">
      <c r="A43" s="136"/>
      <c r="B43" s="200" t="s">
        <v>218</v>
      </c>
      <c r="C43" s="73"/>
      <c r="D43" s="73"/>
      <c r="E43" s="73"/>
      <c r="F43" s="73"/>
      <c r="G43" s="73"/>
      <c r="H43" s="74"/>
      <c r="I43" s="177"/>
      <c r="J43" s="175"/>
      <c r="K43" s="201" t="s">
        <v>219</v>
      </c>
      <c r="L43" s="180"/>
      <c r="M43" s="180"/>
      <c r="N43" s="181"/>
      <c r="O43" s="194" t="s">
        <v>203</v>
      </c>
      <c r="P43" s="195"/>
      <c r="Q43" s="180"/>
      <c r="R43" s="180"/>
      <c r="S43" s="180"/>
      <c r="T43" s="196"/>
      <c r="U43" s="188"/>
      <c r="V43" s="189"/>
      <c r="W43" s="190" t="s">
        <v>220</v>
      </c>
      <c r="X43" s="191"/>
      <c r="Y43" s="191"/>
      <c r="Z43" s="191"/>
      <c r="AA43" s="191"/>
      <c r="AB43" s="191"/>
      <c r="AC43" s="191"/>
      <c r="AD43" s="191"/>
      <c r="AE43" s="191"/>
      <c r="AF43" s="191"/>
      <c r="AG43" s="191"/>
      <c r="AH43" s="192"/>
    </row>
    <row r="44" ht="22.5" customHeight="1">
      <c r="A44" s="136"/>
      <c r="B44" s="164" t="s">
        <v>221</v>
      </c>
      <c r="C44" s="165"/>
      <c r="D44" s="165"/>
      <c r="E44" s="165"/>
      <c r="F44" s="165"/>
      <c r="G44" s="165"/>
      <c r="H44" s="166"/>
      <c r="I44" s="167" t="s">
        <v>203</v>
      </c>
      <c r="J44" s="175"/>
      <c r="K44" s="202" t="s">
        <v>222</v>
      </c>
      <c r="L44" s="203"/>
      <c r="M44" s="203"/>
      <c r="N44" s="204"/>
      <c r="O44" s="205" t="s">
        <v>203</v>
      </c>
      <c r="P44" s="207"/>
      <c r="Q44" s="203"/>
      <c r="R44" s="203"/>
      <c r="S44" s="203"/>
      <c r="T44" s="210"/>
      <c r="U44" s="188"/>
      <c r="V44" s="189"/>
      <c r="W44" s="197"/>
      <c r="X44" s="198"/>
      <c r="Y44" s="198"/>
      <c r="Z44" s="198"/>
      <c r="AA44" s="198"/>
      <c r="AB44" s="198"/>
      <c r="AC44" s="198"/>
      <c r="AD44" s="198"/>
      <c r="AE44" s="198"/>
      <c r="AF44" s="198"/>
      <c r="AG44" s="198"/>
      <c r="AH44" s="199"/>
    </row>
    <row r="45" ht="22.5" customHeight="1">
      <c r="A45" s="136"/>
      <c r="B45" s="171"/>
      <c r="C45" s="172"/>
      <c r="D45" s="109"/>
      <c r="E45" s="109"/>
      <c r="F45" s="109"/>
      <c r="G45" s="109"/>
      <c r="H45" s="173"/>
      <c r="I45" s="174"/>
      <c r="J45" s="175"/>
      <c r="K45" s="182"/>
      <c r="L45" s="182"/>
      <c r="M45" s="182"/>
      <c r="N45" s="182"/>
      <c r="O45" s="182"/>
      <c r="P45" s="182"/>
      <c r="Q45" s="182"/>
      <c r="R45" s="182"/>
      <c r="S45" s="182"/>
      <c r="T45" s="182"/>
      <c r="U45" s="177"/>
      <c r="V45" s="189"/>
      <c r="W45" s="213"/>
      <c r="X45" s="180"/>
      <c r="Y45" s="180"/>
      <c r="Z45" s="180"/>
      <c r="AA45" s="180"/>
      <c r="AB45" s="180"/>
      <c r="AC45" s="180"/>
      <c r="AD45" s="180"/>
      <c r="AE45" s="180"/>
      <c r="AF45" s="180"/>
      <c r="AG45" s="180"/>
      <c r="AH45" s="181"/>
    </row>
    <row r="46" ht="22.5" customHeight="1">
      <c r="A46" s="136"/>
      <c r="B46" s="164" t="s">
        <v>232</v>
      </c>
      <c r="C46" s="165"/>
      <c r="D46" s="165"/>
      <c r="E46" s="165"/>
      <c r="F46" s="165"/>
      <c r="G46" s="165"/>
      <c r="H46" s="166"/>
      <c r="I46" s="167" t="s">
        <v>203</v>
      </c>
      <c r="J46" s="218"/>
      <c r="K46" s="218"/>
      <c r="L46" s="220"/>
      <c r="M46" s="220"/>
      <c r="N46" s="220"/>
      <c r="O46" s="218"/>
      <c r="P46" s="218"/>
      <c r="Q46" s="221"/>
      <c r="R46" s="221"/>
      <c r="S46" s="221"/>
      <c r="T46" s="189"/>
      <c r="U46" s="189"/>
      <c r="V46" s="189"/>
      <c r="W46" s="213" t="s">
        <v>233</v>
      </c>
      <c r="X46" s="180"/>
      <c r="Y46" s="180"/>
      <c r="Z46" s="180"/>
      <c r="AA46" s="180"/>
      <c r="AB46" s="180"/>
      <c r="AC46" s="180"/>
      <c r="AD46" s="180"/>
      <c r="AE46" s="180"/>
      <c r="AF46" s="180"/>
      <c r="AG46" s="180"/>
      <c r="AH46" s="181"/>
    </row>
    <row r="47" ht="22.5" customHeight="1">
      <c r="A47" s="136"/>
      <c r="B47" s="171"/>
      <c r="C47" s="172"/>
      <c r="D47" s="109"/>
      <c r="E47" s="109"/>
      <c r="F47" s="109"/>
      <c r="G47" s="109"/>
      <c r="H47" s="173"/>
      <c r="I47" s="174"/>
      <c r="J47" s="163"/>
      <c r="K47" s="163"/>
      <c r="L47" s="163"/>
      <c r="M47" s="163"/>
      <c r="N47" s="163"/>
      <c r="O47" s="163"/>
      <c r="P47" s="163"/>
      <c r="Q47" s="139"/>
      <c r="R47" s="71"/>
      <c r="S47" s="71"/>
      <c r="T47" s="71"/>
      <c r="U47" s="71"/>
      <c r="V47" s="71"/>
      <c r="W47" s="71"/>
      <c r="X47" s="71"/>
      <c r="Y47" s="71"/>
      <c r="Z47" s="71"/>
      <c r="AA47" s="71"/>
      <c r="AB47" s="71"/>
      <c r="AC47" s="71"/>
      <c r="AD47" s="71"/>
      <c r="AE47" s="71"/>
      <c r="AF47" s="71"/>
      <c r="AG47" s="71"/>
      <c r="AH47" s="71"/>
    </row>
    <row r="48" ht="22.5" customHeight="1">
      <c r="A48" s="71"/>
      <c r="B48" s="71"/>
      <c r="C48" s="71"/>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row>
  </sheetData>
  <mergeCells count="108">
    <mergeCell ref="P43:T43"/>
    <mergeCell ref="P44:T44"/>
    <mergeCell ref="P42:T42"/>
    <mergeCell ref="K42:N42"/>
    <mergeCell ref="K43:N43"/>
    <mergeCell ref="K44:N44"/>
    <mergeCell ref="B44:H44"/>
    <mergeCell ref="B43:H43"/>
    <mergeCell ref="W43:AH44"/>
    <mergeCell ref="W45:AH45"/>
    <mergeCell ref="W41:AH42"/>
    <mergeCell ref="W40:AH40"/>
    <mergeCell ref="P41:T41"/>
    <mergeCell ref="K41:N41"/>
    <mergeCell ref="O1:Q2"/>
    <mergeCell ref="B1:H1"/>
    <mergeCell ref="B2:J2"/>
    <mergeCell ref="B12:E12"/>
    <mergeCell ref="B11:E11"/>
    <mergeCell ref="B10:H10"/>
    <mergeCell ref="R1:AH2"/>
    <mergeCell ref="B5:D5"/>
    <mergeCell ref="B6:D6"/>
    <mergeCell ref="B9:H9"/>
    <mergeCell ref="Y8:Z8"/>
    <mergeCell ref="B3:M3"/>
    <mergeCell ref="B4:M4"/>
    <mergeCell ref="AA12:AC12"/>
    <mergeCell ref="AA11:AC11"/>
    <mergeCell ref="AA10:AC10"/>
    <mergeCell ref="AA8:AC8"/>
    <mergeCell ref="AA9:AC9"/>
    <mergeCell ref="B8:H8"/>
    <mergeCell ref="B7:H7"/>
    <mergeCell ref="F5:K5"/>
    <mergeCell ref="F6:K6"/>
    <mergeCell ref="AE12:AG12"/>
    <mergeCell ref="AE8:AG8"/>
    <mergeCell ref="AE9:AG9"/>
    <mergeCell ref="AE11:AG11"/>
    <mergeCell ref="AE10:AG10"/>
    <mergeCell ref="AA7:AC7"/>
    <mergeCell ref="AE7:AG7"/>
    <mergeCell ref="V19:Z19"/>
    <mergeCell ref="V18:Z18"/>
    <mergeCell ref="O20:S20"/>
    <mergeCell ref="O19:S19"/>
    <mergeCell ref="AB17:AF17"/>
    <mergeCell ref="AB16:AF16"/>
    <mergeCell ref="AA13:AG13"/>
    <mergeCell ref="AA14:AG15"/>
    <mergeCell ref="V17:Z17"/>
    <mergeCell ref="AB19:AF19"/>
    <mergeCell ref="AB18:AF18"/>
    <mergeCell ref="E30:I30"/>
    <mergeCell ref="B30:D30"/>
    <mergeCell ref="M26:AG30"/>
    <mergeCell ref="B46:H46"/>
    <mergeCell ref="C47:H47"/>
    <mergeCell ref="W46:AH46"/>
    <mergeCell ref="B26:D26"/>
    <mergeCell ref="B27:D27"/>
    <mergeCell ref="B33:F33"/>
    <mergeCell ref="R33:X37"/>
    <mergeCell ref="J33:P37"/>
    <mergeCell ref="Z33:AF37"/>
    <mergeCell ref="B34:F34"/>
    <mergeCell ref="B39:H39"/>
    <mergeCell ref="B38:H38"/>
    <mergeCell ref="B41:H41"/>
    <mergeCell ref="C42:H42"/>
    <mergeCell ref="C45:H45"/>
    <mergeCell ref="C40:H40"/>
    <mergeCell ref="H17:L17"/>
    <mergeCell ref="H18:L18"/>
    <mergeCell ref="H19:L19"/>
    <mergeCell ref="B18:F18"/>
    <mergeCell ref="B19:F19"/>
    <mergeCell ref="B17:F17"/>
    <mergeCell ref="B16:F16"/>
    <mergeCell ref="B31:F31"/>
    <mergeCell ref="B28:D28"/>
    <mergeCell ref="B29:D29"/>
    <mergeCell ref="AB20:AF20"/>
    <mergeCell ref="V20:Z20"/>
    <mergeCell ref="V21:Z21"/>
    <mergeCell ref="H21:L21"/>
    <mergeCell ref="B32:F32"/>
    <mergeCell ref="M25:S25"/>
    <mergeCell ref="Z32:AF32"/>
    <mergeCell ref="E28:I28"/>
    <mergeCell ref="E29:I29"/>
    <mergeCell ref="B25:H25"/>
    <mergeCell ref="J25:K25"/>
    <mergeCell ref="O21:S21"/>
    <mergeCell ref="O23:S23"/>
    <mergeCell ref="O22:S22"/>
    <mergeCell ref="J26:K26"/>
    <mergeCell ref="J30:K30"/>
    <mergeCell ref="J29:K29"/>
    <mergeCell ref="J28:K28"/>
    <mergeCell ref="J27:K27"/>
    <mergeCell ref="R32:X32"/>
    <mergeCell ref="J32:P32"/>
    <mergeCell ref="H20:L20"/>
    <mergeCell ref="B20:F20"/>
    <mergeCell ref="E26:I26"/>
    <mergeCell ref="E27:I27"/>
  </mergeCells>
  <conditionalFormatting sqref="I39 I41 I44 I46">
    <cfRule type="expression" dxfId="0" priority="1">
      <formula>C40="WRECKED"</formula>
    </cfRule>
  </conditionalFormatting>
  <conditionalFormatting sqref="I39 I41 I44 I46">
    <cfRule type="expression" dxfId="1" priority="2">
      <formula>C40="MALFUNCTIONING"</formula>
    </cfRule>
  </conditionalFormatting>
  <conditionalFormatting sqref="I39 I41 I44 I46">
    <cfRule type="expression" dxfId="2" priority="3">
      <formula>C40="GLITCHING"</formula>
    </cfRule>
  </conditionalFormatting>
  <conditionalFormatting sqref="O41:O44">
    <cfRule type="expression" dxfId="2" priority="4">
      <formula>P41="GLITCHING"</formula>
    </cfRule>
  </conditionalFormatting>
  <conditionalFormatting sqref="O41:O44">
    <cfRule type="expression" dxfId="1" priority="5">
      <formula>P41="MALFUNCTIONING"</formula>
    </cfRule>
  </conditionalFormatting>
  <conditionalFormatting sqref="O41:O44">
    <cfRule type="expression" dxfId="0" priority="6">
      <formula>P41="WRECKED"</formula>
    </cfRule>
  </conditionalFormatting>
  <dataValidations>
    <dataValidation type="list" allowBlank="1" showErrorMessage="1" sqref="C40 C42 P41:P44 C45 C47">
      <formula1>damageList</formula1>
    </dataValidation>
  </dataValidations>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1.43"/>
    <col customWidth="1" min="2" max="2" width="3.29"/>
    <col customWidth="1" min="3" max="3" width="12.57"/>
    <col customWidth="1" min="4" max="4" width="3.29"/>
    <col customWidth="1" min="5" max="5" width="7.71"/>
    <col customWidth="1" min="6" max="6" width="5.57"/>
    <col customWidth="1" min="7" max="7" width="3.43"/>
  </cols>
  <sheetData>
    <row r="1" ht="66.0" customHeight="1">
      <c r="A1" s="53" t="s">
        <v>50</v>
      </c>
      <c r="B1" s="53" t="s">
        <v>51</v>
      </c>
      <c r="C1" s="53" t="s">
        <v>52</v>
      </c>
      <c r="D1" s="53" t="s">
        <v>53</v>
      </c>
      <c r="E1" s="53" t="s">
        <v>54</v>
      </c>
      <c r="F1" s="53" t="s">
        <v>55</v>
      </c>
      <c r="G1" s="53" t="s">
        <v>56</v>
      </c>
    </row>
    <row r="2">
      <c r="A2" s="55" t="s">
        <v>57</v>
      </c>
      <c r="B2" s="55">
        <v>0.0</v>
      </c>
      <c r="C2" s="55" t="s">
        <v>57</v>
      </c>
      <c r="D2" s="55"/>
      <c r="E2" s="55"/>
      <c r="F2" s="55">
        <v>1.0</v>
      </c>
      <c r="G2" s="55">
        <f>F2*ShipSizeNum</f>
        <v>0</v>
      </c>
    </row>
    <row r="3">
      <c r="A3" s="55" t="s">
        <v>58</v>
      </c>
      <c r="B3" s="55">
        <v>1.0</v>
      </c>
      <c r="C3" s="55" t="s">
        <v>57</v>
      </c>
      <c r="D3" s="55"/>
      <c r="E3" s="55"/>
      <c r="F3" s="55">
        <v>1.0</v>
      </c>
      <c r="G3" s="55">
        <f>F3*ShipSizeNum</f>
        <v>0</v>
      </c>
    </row>
    <row r="4">
      <c r="A4" s="55" t="s">
        <v>60</v>
      </c>
      <c r="B4" s="55">
        <v>2.0</v>
      </c>
      <c r="C4" s="55" t="s">
        <v>57</v>
      </c>
      <c r="D4" s="55"/>
      <c r="E4" s="55"/>
      <c r="F4" s="55">
        <v>2.0</v>
      </c>
      <c r="G4" s="55">
        <f>F4*ShipSizeNum</f>
        <v>0</v>
      </c>
    </row>
    <row r="5">
      <c r="A5" s="55" t="s">
        <v>61</v>
      </c>
      <c r="B5" s="55">
        <v>3.0</v>
      </c>
      <c r="C5" s="55" t="s">
        <v>57</v>
      </c>
      <c r="D5" s="55"/>
      <c r="E5" s="55"/>
      <c r="F5" s="55">
        <v>3.0</v>
      </c>
      <c r="G5" s="55">
        <f>F5*ShipSizeNum</f>
        <v>0</v>
      </c>
    </row>
    <row r="6">
      <c r="A6" s="55" t="s">
        <v>64</v>
      </c>
      <c r="B6" s="55">
        <v>4.0</v>
      </c>
      <c r="C6" s="55" t="s">
        <v>57</v>
      </c>
      <c r="D6" s="55"/>
      <c r="E6" s="55"/>
      <c r="F6" s="55">
        <v>5.0</v>
      </c>
      <c r="G6" s="55">
        <f>F6*ShipSizeNum</f>
        <v>0</v>
      </c>
    </row>
    <row r="7">
      <c r="A7" s="55" t="s">
        <v>65</v>
      </c>
      <c r="B7" s="55">
        <v>5.0</v>
      </c>
      <c r="C7" s="55" t="s">
        <v>66</v>
      </c>
      <c r="D7" s="55">
        <v>-1.0</v>
      </c>
      <c r="E7" s="64"/>
      <c r="F7" s="55">
        <v>7.0</v>
      </c>
      <c r="G7" s="55">
        <f>F7*ShipSizeNum</f>
        <v>0</v>
      </c>
    </row>
    <row r="8">
      <c r="A8" s="55" t="s">
        <v>68</v>
      </c>
      <c r="B8" s="55">
        <v>6.0</v>
      </c>
      <c r="C8" s="55" t="s">
        <v>66</v>
      </c>
      <c r="D8" s="55">
        <v>-1.0</v>
      </c>
      <c r="E8" s="64"/>
      <c r="F8" s="55">
        <v>9.0</v>
      </c>
      <c r="G8" s="55">
        <f>F8*ShipSizeNum</f>
        <v>0</v>
      </c>
    </row>
    <row r="9">
      <c r="A9" s="55" t="s">
        <v>69</v>
      </c>
      <c r="B9" s="55">
        <v>7.0</v>
      </c>
      <c r="C9" s="55" t="s">
        <v>66</v>
      </c>
      <c r="D9" s="55">
        <v>-1.0</v>
      </c>
      <c r="E9" s="64"/>
      <c r="F9" s="55">
        <v>12.0</v>
      </c>
      <c r="G9" s="55">
        <f>F9*ShipSizeNum</f>
        <v>0</v>
      </c>
    </row>
    <row r="10">
      <c r="A10" s="55" t="s">
        <v>70</v>
      </c>
      <c r="B10" s="55">
        <v>8.0</v>
      </c>
      <c r="C10" s="55" t="s">
        <v>66</v>
      </c>
      <c r="D10" s="55">
        <v>-1.0</v>
      </c>
      <c r="E10" s="64"/>
      <c r="F10" s="55">
        <v>15.0</v>
      </c>
      <c r="G10" s="55">
        <f>F10*ShipSizeNum</f>
        <v>0</v>
      </c>
    </row>
    <row r="11">
      <c r="A11" s="55" t="s">
        <v>71</v>
      </c>
      <c r="B11" s="55">
        <v>9.0</v>
      </c>
      <c r="C11" s="55" t="s">
        <v>73</v>
      </c>
      <c r="D11" s="55">
        <v>-2.0</v>
      </c>
      <c r="E11" s="55">
        <v>1.0</v>
      </c>
      <c r="F11" s="55">
        <v>18.0</v>
      </c>
      <c r="G11" s="55">
        <f>F11*ShipSizeNum</f>
        <v>0</v>
      </c>
    </row>
    <row r="12">
      <c r="A12" s="55" t="s">
        <v>75</v>
      </c>
      <c r="B12" s="55">
        <v>10.0</v>
      </c>
      <c r="C12" s="55" t="s">
        <v>73</v>
      </c>
      <c r="D12" s="55">
        <v>-2.0</v>
      </c>
      <c r="E12" s="55">
        <v>1.0</v>
      </c>
      <c r="F12" s="55">
        <v>21.0</v>
      </c>
      <c r="G12" s="55">
        <f>F12*ShipSizeNum</f>
        <v>0</v>
      </c>
    </row>
    <row r="13">
      <c r="A13" s="55" t="s">
        <v>77</v>
      </c>
      <c r="B13" s="55">
        <v>11.0</v>
      </c>
      <c r="C13" s="55" t="s">
        <v>73</v>
      </c>
      <c r="D13" s="55">
        <v>-2.0</v>
      </c>
      <c r="E13" s="55">
        <v>1.0</v>
      </c>
      <c r="F13" s="55">
        <v>25.0</v>
      </c>
      <c r="G13" s="55">
        <f>F13*ShipSizeNum</f>
        <v>0</v>
      </c>
    </row>
    <row r="14">
      <c r="A14" s="55" t="s">
        <v>78</v>
      </c>
      <c r="B14" s="55">
        <v>12.0</v>
      </c>
      <c r="C14" s="55" t="s">
        <v>79</v>
      </c>
      <c r="D14" s="55">
        <v>-3.0</v>
      </c>
      <c r="E14" s="55">
        <v>2.0</v>
      </c>
      <c r="F14" s="55">
        <v>30.0</v>
      </c>
      <c r="G14" s="55">
        <f>F14*ShipSizeNum</f>
        <v>0</v>
      </c>
    </row>
    <row r="15">
      <c r="A15" s="55" t="s">
        <v>81</v>
      </c>
      <c r="B15" s="55">
        <v>13.0</v>
      </c>
      <c r="C15" s="55" t="s">
        <v>79</v>
      </c>
      <c r="D15" s="55">
        <v>-3.0</v>
      </c>
      <c r="E15" s="55">
        <v>2.0</v>
      </c>
      <c r="F15" s="55">
        <v>35.0</v>
      </c>
      <c r="G15" s="55">
        <f>F15*ShipSizeNum</f>
        <v>0</v>
      </c>
    </row>
    <row r="16">
      <c r="A16" s="55" t="s">
        <v>82</v>
      </c>
      <c r="B16" s="55">
        <v>14.0</v>
      </c>
      <c r="C16" s="55" t="s">
        <v>79</v>
      </c>
      <c r="D16" s="55">
        <v>-3.0</v>
      </c>
      <c r="E16" s="55">
        <v>2.0</v>
      </c>
      <c r="F16" s="55">
        <v>40.0</v>
      </c>
      <c r="G16" s="55">
        <f>F16*ShipSizeNum</f>
        <v>0</v>
      </c>
    </row>
    <row r="17">
      <c r="A17" s="55" t="s">
        <v>83</v>
      </c>
      <c r="B17" s="55">
        <v>15.0</v>
      </c>
      <c r="C17" s="55" t="s">
        <v>84</v>
      </c>
      <c r="D17" s="55">
        <v>-4.0</v>
      </c>
      <c r="E17" s="55">
        <v>3.0</v>
      </c>
      <c r="F17" s="55">
        <v>45.0</v>
      </c>
      <c r="G17" s="55">
        <f>F17*ShipSizeNum</f>
        <v>0</v>
      </c>
    </row>
    <row r="18">
      <c r="A18" s="64"/>
      <c r="B18" s="64"/>
      <c r="C18" s="49" t="s">
        <v>85</v>
      </c>
      <c r="D18" s="75" t="str">
        <f t="array" ref="D18">iferror(index(ArmorTLt,match(Armor,ArmorChoice,0),0))</f>
        <v/>
      </c>
      <c r="E18" s="75" t="str">
        <f t="array" ref="E18">iferror(index(ArmorTurnT,match(Armor,ArmorChoice,0)),"")</f>
        <v/>
      </c>
      <c r="F18" s="64"/>
      <c r="G18" s="64"/>
    </row>
  </sheetData>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6.0"/>
    <col customWidth="1" min="2" max="2" width="3.29"/>
  </cols>
  <sheetData>
    <row r="1">
      <c r="A1" s="86" t="s">
        <v>97</v>
      </c>
      <c r="B1" s="86" t="s">
        <v>99</v>
      </c>
    </row>
    <row r="2">
      <c r="A2" s="55" t="s">
        <v>57</v>
      </c>
      <c r="B2" s="55">
        <v>0.0</v>
      </c>
    </row>
    <row r="3">
      <c r="A3" s="55" t="s">
        <v>100</v>
      </c>
      <c r="B3" s="64">
        <f>ICMTier*1</f>
        <v>1</v>
      </c>
    </row>
    <row r="4">
      <c r="A4" s="55" t="s">
        <v>101</v>
      </c>
      <c r="B4" s="64">
        <f>ICMTier*2</f>
        <v>2</v>
      </c>
    </row>
    <row r="5">
      <c r="A5" s="55" t="s">
        <v>103</v>
      </c>
      <c r="B5" s="64">
        <f>ICMTier*3</f>
        <v>3</v>
      </c>
    </row>
    <row r="6">
      <c r="A6" s="55" t="s">
        <v>105</v>
      </c>
      <c r="B6" s="64">
        <f>ICMTier*4</f>
        <v>4</v>
      </c>
    </row>
  </sheetData>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23.43"/>
    <col customWidth="1" min="2" max="2" width="3.29"/>
  </cols>
  <sheetData>
    <row r="1">
      <c r="A1" s="86" t="s">
        <v>50</v>
      </c>
      <c r="B1" s="86" t="s">
        <v>56</v>
      </c>
    </row>
    <row r="2">
      <c r="A2" s="55" t="s">
        <v>57</v>
      </c>
      <c r="B2" s="55">
        <v>0.0</v>
      </c>
    </row>
    <row r="3">
      <c r="A3" s="55" t="str">
        <f>if(ShipSizeNum&gt;1,"Crew Quarters (Common)","")</f>
        <v/>
      </c>
      <c r="B3" s="55">
        <v>0.0</v>
      </c>
    </row>
    <row r="4">
      <c r="A4" s="55" t="str">
        <f>if(ShipSizeNum&gt;1,"Crew Quarters (Good)","")</f>
        <v/>
      </c>
      <c r="B4" s="55">
        <v>2.0</v>
      </c>
    </row>
    <row r="5">
      <c r="A5" s="55" t="str">
        <f>if(ShipSizeNum&gt;1,"Crew Quarters (Luxurious)","")</f>
        <v/>
      </c>
      <c r="B5" s="55">
        <v>5.0</v>
      </c>
    </row>
  </sheetData>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14.43"/>
    <col customWidth="1" min="2" max="3" width="3.29"/>
    <col customWidth="1" min="4" max="4" width="3.43"/>
  </cols>
  <sheetData>
    <row r="1">
      <c r="A1" s="86" t="s">
        <v>50</v>
      </c>
      <c r="B1" s="86" t="s">
        <v>118</v>
      </c>
      <c r="C1" s="86" t="s">
        <v>119</v>
      </c>
      <c r="D1" s="86" t="s">
        <v>56</v>
      </c>
    </row>
    <row r="2">
      <c r="A2" s="55" t="s">
        <v>57</v>
      </c>
      <c r="B2" s="55"/>
      <c r="C2" s="55">
        <v>0.0</v>
      </c>
      <c r="D2" s="55">
        <v>0.0</v>
      </c>
    </row>
    <row r="3">
      <c r="A3" s="55" t="s">
        <v>120</v>
      </c>
      <c r="B3" s="55">
        <v>1.0</v>
      </c>
      <c r="C3" s="55">
        <v>1.0</v>
      </c>
      <c r="D3" s="55">
        <v>2.0</v>
      </c>
    </row>
    <row r="4">
      <c r="A4" s="55" t="s">
        <v>121</v>
      </c>
      <c r="B4" s="55">
        <v>2.0</v>
      </c>
      <c r="C4" s="55">
        <v>1.0</v>
      </c>
      <c r="D4" s="55">
        <v>3.0</v>
      </c>
    </row>
    <row r="5">
      <c r="A5" s="64" t="s">
        <v>122</v>
      </c>
      <c r="B5" s="55">
        <v>3.0</v>
      </c>
      <c r="C5" s="55">
        <v>2.0</v>
      </c>
      <c r="D5" s="55">
        <v>4.0</v>
      </c>
    </row>
    <row r="6">
      <c r="A6" s="64" t="s">
        <v>123</v>
      </c>
      <c r="B6" s="55">
        <v>4.0</v>
      </c>
      <c r="C6" s="55">
        <v>3.0</v>
      </c>
      <c r="D6" s="55">
        <v>6.0</v>
      </c>
    </row>
    <row r="7">
      <c r="A7" s="64" t="s">
        <v>124</v>
      </c>
      <c r="B7" s="55">
        <v>5.0</v>
      </c>
      <c r="C7" s="55">
        <v>4.0</v>
      </c>
      <c r="D7" s="55">
        <v>8.0</v>
      </c>
    </row>
    <row r="8">
      <c r="A8" s="64" t="s">
        <v>125</v>
      </c>
      <c r="B8" s="55">
        <v>6.0</v>
      </c>
      <c r="C8" s="55">
        <v>5.0</v>
      </c>
      <c r="D8" s="55">
        <v>11.0</v>
      </c>
    </row>
    <row r="9">
      <c r="A9" s="64" t="s">
        <v>126</v>
      </c>
      <c r="B9" s="55">
        <v>7.0</v>
      </c>
      <c r="C9" s="55">
        <v>7.0</v>
      </c>
      <c r="D9" s="55">
        <v>14.0</v>
      </c>
    </row>
    <row r="10">
      <c r="A10" s="64" t="s">
        <v>127</v>
      </c>
      <c r="B10" s="55">
        <v>8.0</v>
      </c>
      <c r="C10" s="55">
        <v>9.0</v>
      </c>
      <c r="D10" s="55">
        <v>18.0</v>
      </c>
    </row>
    <row r="11">
      <c r="A11" s="64" t="s">
        <v>128</v>
      </c>
      <c r="B11" s="55">
        <v>9.0</v>
      </c>
      <c r="C11" s="55">
        <v>11.0</v>
      </c>
      <c r="D11" s="55">
        <v>22.0</v>
      </c>
    </row>
    <row r="12">
      <c r="A12" s="64" t="s">
        <v>129</v>
      </c>
      <c r="B12" s="55">
        <v>10.0</v>
      </c>
      <c r="C12" s="55">
        <v>13.0</v>
      </c>
      <c r="D12" s="55">
        <v>27.0</v>
      </c>
    </row>
    <row r="13">
      <c r="A13" s="64" t="s">
        <v>130</v>
      </c>
      <c r="B13" s="55">
        <v>11.0</v>
      </c>
      <c r="C13" s="55">
        <v>16.0</v>
      </c>
      <c r="D13" s="55">
        <v>33.0</v>
      </c>
    </row>
    <row r="14">
      <c r="A14" s="64" t="s">
        <v>131</v>
      </c>
      <c r="B14" s="55">
        <v>12.0</v>
      </c>
      <c r="C14" s="55">
        <v>20.0</v>
      </c>
      <c r="D14" s="55">
        <v>40.0</v>
      </c>
    </row>
    <row r="15">
      <c r="A15" s="64" t="s">
        <v>132</v>
      </c>
      <c r="B15" s="55">
        <v>13.0</v>
      </c>
      <c r="C15" s="55">
        <v>25.0</v>
      </c>
      <c r="D15" s="55">
        <v>50.0</v>
      </c>
    </row>
    <row r="16">
      <c r="A16" s="64" t="s">
        <v>133</v>
      </c>
      <c r="B16" s="55">
        <v>14.0</v>
      </c>
      <c r="C16" s="55">
        <v>32.0</v>
      </c>
      <c r="D16" s="55">
        <v>65.0</v>
      </c>
    </row>
    <row r="17">
      <c r="A17" s="64" t="s">
        <v>134</v>
      </c>
      <c r="B17" s="55">
        <v>15.0</v>
      </c>
      <c r="C17" s="55">
        <v>45.0</v>
      </c>
      <c r="D17" s="55">
        <v>90.0</v>
      </c>
    </row>
  </sheetData>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75"/>
  <cols>
    <col customWidth="1" min="1" max="1" width="26.86"/>
    <col customWidth="1" min="2" max="2" width="5.57"/>
    <col customWidth="1" min="3" max="3" width="4.43"/>
    <col customWidth="1" min="4" max="4" width="8.0"/>
    <col customWidth="1" min="5" max="6" width="5.57"/>
    <col customWidth="1" min="7" max="7" width="3.29"/>
    <col customWidth="1" min="8" max="8" width="26.43"/>
  </cols>
  <sheetData>
    <row r="1" ht="67.5" customHeight="1">
      <c r="A1" s="53" t="s">
        <v>32</v>
      </c>
      <c r="B1" s="53" t="s">
        <v>144</v>
      </c>
      <c r="C1" s="53" t="s">
        <v>145</v>
      </c>
      <c r="D1" s="53" t="s">
        <v>146</v>
      </c>
      <c r="E1" s="53" t="s">
        <v>147</v>
      </c>
      <c r="F1" s="53" t="s">
        <v>55</v>
      </c>
      <c r="G1" s="53" t="s">
        <v>56</v>
      </c>
      <c r="H1" s="53" t="s">
        <v>148</v>
      </c>
    </row>
    <row r="2">
      <c r="A2" s="55" t="s">
        <v>149</v>
      </c>
      <c r="B2" s="55">
        <v>1.0</v>
      </c>
      <c r="C2" s="55">
        <v>75.0</v>
      </c>
      <c r="D2" s="55" t="s">
        <v>57</v>
      </c>
      <c r="E2" s="55">
        <v>7.0</v>
      </c>
      <c r="F2" s="55">
        <v>2.0</v>
      </c>
      <c r="G2" s="64">
        <f>F2*ShipSizeNum</f>
        <v>0</v>
      </c>
      <c r="H2" s="64" t="str">
        <f>IF(AND(C2&lt;=PCUtotal,E2&gt;=ShipSizeNum),A2,"")</f>
        <v/>
      </c>
    </row>
    <row r="3">
      <c r="A3" s="55" t="s">
        <v>154</v>
      </c>
      <c r="B3" s="55">
        <v>2.0</v>
      </c>
      <c r="C3" s="55">
        <v>100.0</v>
      </c>
      <c r="D3" s="55" t="s">
        <v>155</v>
      </c>
      <c r="E3" s="55">
        <v>5.0</v>
      </c>
      <c r="F3" s="55">
        <v>5.0</v>
      </c>
      <c r="G3" s="64">
        <f>F3*ShipSizeNum</f>
        <v>0</v>
      </c>
      <c r="H3" s="64" t="str">
        <f>IF(AND(C3&lt;=PCUtotal,E3&gt;=ShipSizeNum),A3,"")</f>
        <v/>
      </c>
    </row>
    <row r="4">
      <c r="A4" s="55" t="s">
        <v>156</v>
      </c>
      <c r="B4" s="55">
        <v>3.0</v>
      </c>
      <c r="C4" s="55">
        <v>150.0</v>
      </c>
      <c r="D4" s="55" t="s">
        <v>157</v>
      </c>
      <c r="E4" s="55">
        <v>4.0</v>
      </c>
      <c r="F4" s="55">
        <v>10.0</v>
      </c>
      <c r="G4" s="64">
        <f>F4*ShipSizeNum</f>
        <v>0</v>
      </c>
      <c r="H4" s="64" t="str">
        <f>IF(AND(C4&lt;=PCUtotal,E4&gt;=ShipSizeNum),A4,"")</f>
        <v/>
      </c>
    </row>
    <row r="5">
      <c r="A5" s="55" t="s">
        <v>159</v>
      </c>
      <c r="B5" s="55">
        <v>4.0</v>
      </c>
      <c r="C5" s="55">
        <v>175.0</v>
      </c>
      <c r="D5" s="55" t="s">
        <v>157</v>
      </c>
      <c r="E5" s="55">
        <v>4.0</v>
      </c>
      <c r="F5" s="55">
        <v>15.0</v>
      </c>
      <c r="G5" s="64">
        <f>F5*ShipSizeNum</f>
        <v>0</v>
      </c>
      <c r="H5" s="64" t="str">
        <f>IF(AND(C5&lt;=PCUtotal,E5&gt;=ShipSizeNum),A5,"")</f>
        <v/>
      </c>
    </row>
    <row r="6">
      <c r="A6" s="55" t="s">
        <v>161</v>
      </c>
      <c r="B6" s="55">
        <v>5.0</v>
      </c>
      <c r="C6" s="55">
        <v>200.0</v>
      </c>
      <c r="D6" s="55" t="s">
        <v>162</v>
      </c>
      <c r="E6" s="55">
        <v>3.0</v>
      </c>
      <c r="F6" s="55">
        <v>20.0</v>
      </c>
      <c r="G6" s="64">
        <f>F6*ShipSizeNum</f>
        <v>0</v>
      </c>
      <c r="H6" s="64" t="str">
        <f>IF(AND(C6&lt;=PCUtotal,E6&gt;=ShipSizeNum),A6,"")</f>
        <v/>
      </c>
    </row>
    <row r="7">
      <c r="A7" s="55" t="s">
        <v>164</v>
      </c>
      <c r="B7" s="55">
        <v>0.0</v>
      </c>
      <c r="C7" s="55">
        <v>0.0</v>
      </c>
      <c r="D7" s="55" t="s">
        <v>57</v>
      </c>
      <c r="E7" s="55"/>
      <c r="F7" s="55">
        <v>0.0</v>
      </c>
      <c r="G7" s="64">
        <f>F7*ShipSizeNum</f>
        <v>0</v>
      </c>
      <c r="H7" s="55" t="s">
        <v>164</v>
      </c>
    </row>
  </sheetData>
  <drawing r:id="rId2"/>
  <legacyDrawing r:id="rId3"/>
</worksheet>
</file>