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drawings/drawing8.xml" ContentType="application/vnd.openxmlformats-officedocument.drawing+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601"/>
  <workbookPr codeName="ThisWorkbook" defaultThemeVersion="166925"/>
  <mc:AlternateContent xmlns:mc="http://schemas.openxmlformats.org/markup-compatibility/2006">
    <mc:Choice Requires="x15">
      <x15ac:absPath xmlns:x15ac="http://schemas.microsoft.com/office/spreadsheetml/2010/11/ac" url="https://d.docs.live.net/f2401e5b4465ca21/Documents/"/>
    </mc:Choice>
  </mc:AlternateContent>
  <xr:revisionPtr revIDLastSave="20" documentId="13_ncr:1_{9EAF6A5C-CCA3-49E3-819D-3E0204738E66}" xr6:coauthVersionLast="43" xr6:coauthVersionMax="43" xr10:uidLastSave="{64CEB20C-CF77-4809-8262-F93F0E65FAC4}"/>
  <bookViews>
    <workbookView xWindow="-120" yWindow="-120" windowWidth="25440" windowHeight="15390" xr2:uid="{00000000-000D-0000-FFFF-FFFF00000000}"/>
  </bookViews>
  <sheets>
    <sheet name="Cover" sheetId="23" r:id="rId1"/>
    <sheet name="Instructions" sheetId="16" r:id="rId2"/>
    <sheet name="Character Sheet" sheetId="1" r:id="rId3"/>
    <sheet name="Worktable" sheetId="4" r:id="rId4"/>
    <sheet name="Skills Worktable" sheetId="3" r:id="rId5"/>
    <sheet name="Magic &amp; Psionics" sheetId="6" r:id="rId6"/>
    <sheet name="Combat Sheet" sheetId="9" r:id="rId7"/>
    <sheet name="Customize" sheetId="13" r:id="rId8"/>
    <sheet name="Legal Information" sheetId="15" r:id="rId9"/>
    <sheet name="Editor's Notes" sheetId="2" r:id="rId10"/>
    <sheet name="Printer - Character Sheet" sheetId="24" r:id="rId11"/>
    <sheet name="Printer - Magic &amp; Psionics" sheetId="21" r:id="rId12"/>
    <sheet name="Printer - Combat Sheet" sheetId="22" r:id="rId13"/>
    <sheet name="Skills" sheetId="11" state="hidden" r:id="rId14"/>
    <sheet name="Experience" sheetId="12" state="hidden" r:id="rId15"/>
    <sheet name="Combat" sheetId="10" state="hidden" r:id="rId16"/>
    <sheet name="WP" sheetId="14" state="hidden" r:id="rId17"/>
  </sheets>
  <externalReferences>
    <externalReference r:id="rId18"/>
  </externalReferences>
  <definedNames>
    <definedName name="alignment">Worktable!$Q$5:$Q$15</definedName>
    <definedName name="alignments">Worktable!$P$4</definedName>
    <definedName name="archery">Combat!$A$143:$H$157</definedName>
    <definedName name="armor_select">Combat!$O$27:$R$44</definedName>
    <definedName name="attack_type">WP!$Q$24:$Q$25</definedName>
    <definedName name="basic_punch">Combat!$W$5</definedName>
    <definedName name="battle_axe">Combat!$A$158:$H$172</definedName>
    <definedName name="blunt">Combat!$A$173:$H$187</definedName>
    <definedName name="bonus_skill">Worktable!$K$2</definedName>
    <definedName name="calc_lev">Worktable!$T$21</definedName>
    <definedName name="chain">Combat!$A$188:$H$202</definedName>
    <definedName name="char_level" localSheetId="10">'Printer - Character Sheet'!$J$8</definedName>
    <definedName name="char_level">'Character Sheet'!$J$8</definedName>
    <definedName name="char_xp" localSheetId="10">'Printer - Character Sheet'!$F$8</definedName>
    <definedName name="char_xp">'Character Sheet'!$F$8</definedName>
    <definedName name="Clergy">Experience!$B$2:$B$14</definedName>
    <definedName name="Communications">Skills!$B$3:$B$14</definedName>
    <definedName name="crit">Worktable!$C$14</definedName>
    <definedName name="custom_occ">Experience!$B$90:$B$92</definedName>
    <definedName name="custom_skills">Skills!$B$195:$B$212</definedName>
    <definedName name="damage_col">WP!$A$120:$A$146</definedName>
    <definedName name="damage_row">WP!$A$120:$P$120</definedName>
    <definedName name="db">Worktable!$K$14</definedName>
    <definedName name="die_damage">Combat!$X$28:$AA$35</definedName>
    <definedName name="die_type">Combat!$X$29:$X$35</definedName>
    <definedName name="Domestic">Skills!$B$15:$B$20</definedName>
    <definedName name="entangle_col">WP!$A$91:$A$117</definedName>
    <definedName name="entangle_row">WP!$A$91:$P$91</definedName>
    <definedName name="Entertainer">Experience!$B$15:$B$20</definedName>
    <definedName name="Espionage">Skills!$B$21:$B$31</definedName>
    <definedName name="excel_carry">Worktable!$N$5</definedName>
    <definedName name="exp_chart">Experience!$B$2:$Q$92</definedName>
    <definedName name="feature_col">WP!$A$240:$A$266</definedName>
    <definedName name="feature_row">WP!$A$240:$Q$240</definedName>
    <definedName name="feature_search">WP!$A$241:$B$266</definedName>
    <definedName name="forked">Combat!$A$203:$H$217</definedName>
    <definedName name="giant_throw">Worktable!$N$12</definedName>
    <definedName name="hand_to_hand">Worktable!$C$13</definedName>
    <definedName name="hf">Worktable!$H$13</definedName>
    <definedName name="hook">Combat!$A$218:$H$232</definedName>
    <definedName name="Horsemanship">Skills!$B$32:$B$35</definedName>
    <definedName name="hth">Worktable!$C$13</definedName>
    <definedName name="hth_assassin">Combat!$E$1</definedName>
    <definedName name="hth_basic">Combat!$B$1</definedName>
    <definedName name="hth_bonus">Combat!$A$4:$M$138</definedName>
    <definedName name="hth_custom">Customize!$L$9</definedName>
    <definedName name="hth_evasive">Combat!$F$1</definedName>
    <definedName name="hth_expert">Combat!$C$1</definedName>
    <definedName name="hth_gladiator">Combat!$G$1</definedName>
    <definedName name="hth_list">Combat!$A$1:$I$1</definedName>
    <definedName name="hth_ma">Combat!$D$1</definedName>
    <definedName name="hth_none">Combat!$A$1</definedName>
    <definedName name="hth_skudasa">Combat!$H$1</definedName>
    <definedName name="knife">Combat!$A$233:$H$247</definedName>
    <definedName name="ko">Worktable!$H$14</definedName>
    <definedName name="Language">Skills!$B$36:$B$46</definedName>
    <definedName name="level">Skills!$BC$3:$BC$17</definedName>
    <definedName name="Literacy">Skills!$B$47:$B$54</definedName>
    <definedName name="Lore">Skills!$B$55:$B$64</definedName>
    <definedName name="Magic">Experience!$B$54:$B$62</definedName>
    <definedName name="measure_list">Combat!$AD$50:$AD$51</definedName>
    <definedName name="Medical">Skills!$B$65:$B$71</definedName>
    <definedName name="MenOfArms">Experience!$B$21:$B$40</definedName>
    <definedName name="Military">Skills!$B$72:$B$81</definedName>
    <definedName name="missile">Combat!$A$368:$H$382</definedName>
    <definedName name="mouth">Combat!$A$248:$H$262</definedName>
    <definedName name="nar">Worktable!$K$13</definedName>
    <definedName name="Naval">Skills!$B$82:$B$89</definedName>
    <definedName name="net">Combat!$A$263:$H$277</definedName>
    <definedName name="norm_punch">Combat!$O$5:$S$21</definedName>
    <definedName name="norm_throw">Worktable!$N$11</definedName>
    <definedName name="occ">Worktable!$I$11</definedName>
    <definedName name="occ_cat">Worktable!$F$11</definedName>
    <definedName name="occ_custom1">Customize!$C$11</definedName>
    <definedName name="occ_custom2">Customize!$E$11</definedName>
    <definedName name="occ_custom3">Customize!$G$11</definedName>
    <definedName name="occ_list">Experience!$S$2:$S$11</definedName>
    <definedName name="Optional">Experience!$B$41:$B$53</definedName>
    <definedName name="parry_col">WP!$A$33:$A$59</definedName>
    <definedName name="parry_row">WP!$A$33:$P$33</definedName>
    <definedName name="percent">Worktable!$N$43</definedName>
    <definedName name="Physical">Skills!$B$90:$B$104</definedName>
    <definedName name="plus">Worktable!$N$42</definedName>
    <definedName name="pole_arm">Combat!$A$278:$H$292</definedName>
    <definedName name="pounds">Worktable!$N$44</definedName>
    <definedName name="_xlnm.Print_Area" localSheetId="2">'Character Sheet'!$A$1:$Q$117</definedName>
    <definedName name="_xlnm.Print_Area" localSheetId="6">'Combat Sheet'!$A$1:$U$58</definedName>
    <definedName name="_xlnm.Print_Area" localSheetId="7">Customize!$A$1:$U$93</definedName>
    <definedName name="_xlnm.Print_Area" localSheetId="9">'Editor''s Notes'!$A$1:$A$53</definedName>
    <definedName name="_xlnm.Print_Area" localSheetId="1">Instructions!$A$1:$A$61</definedName>
    <definedName name="_xlnm.Print_Area" localSheetId="5">'Magic &amp; Psionics'!$A$1:$Q$123</definedName>
    <definedName name="_xlnm.Print_Area" localSheetId="10">'Printer - Character Sheet'!$A$1:$Q$117</definedName>
    <definedName name="_xlnm.Print_Area" localSheetId="12">'Printer - Combat Sheet'!$A$1:$U$58</definedName>
    <definedName name="_xlnm.Print_Area" localSheetId="11">'Printer - Magic &amp; Psionics'!$A$1:$Q$123</definedName>
    <definedName name="_xlnm.Print_Area" localSheetId="4">'Skills Worktable'!$A$1:$Q$46</definedName>
    <definedName name="_xlnm.Print_Area" localSheetId="3">Worktable!$A$1:$T$46</definedName>
    <definedName name="ps_giant">Worktable!$M$8</definedName>
    <definedName name="ps_normal">Worktable!$M$7</definedName>
    <definedName name="ps_supernatural">Worktable!$M$9</definedName>
    <definedName name="ps_type">Worktable!$M$4</definedName>
    <definedName name="Psychic">Experience!$B$63:$B$67</definedName>
    <definedName name="Racial">Experience!$B$68:$B$82</definedName>
    <definedName name="range_col">WP!$A$149:$A$175</definedName>
    <definedName name="range_damage">Combat!$AA$51</definedName>
    <definedName name="range_row">WP!$A$149:$P$149</definedName>
    <definedName name="range_strike">Combat!$AA$50</definedName>
    <definedName name="range_type">WP!$A$5:$Q$30</definedName>
    <definedName name="right_parry" localSheetId="15">'[1]C1-WT'!#REF!</definedName>
    <definedName name="rof_col">WP!$A$178:$A$204</definedName>
    <definedName name="rof_row">WP!$A$178:$P$178</definedName>
    <definedName name="Rogue">Skills!$B$105:$B$116</definedName>
    <definedName name="save_coma">Worktable!$H$29</definedName>
    <definedName name="save_control">Worktable!$H$40</definedName>
    <definedName name="save_disease">Worktable!$H$35</definedName>
    <definedName name="save_element">Worktable!$H$37</definedName>
    <definedName name="save_f_mag">Worktable!$H$33</definedName>
    <definedName name="save_faerie">Worktable!$H$33</definedName>
    <definedName name="save_hf">Worktable!$H$36</definedName>
    <definedName name="save_illusion">Worktable!$H$38</definedName>
    <definedName name="save_insane">Worktable!$H$31</definedName>
    <definedName name="save_magic">Worktable!$H$32</definedName>
    <definedName name="save_poison">Worktable!$H$34</definedName>
    <definedName name="save_possess">Worktable!$H$39</definedName>
    <definedName name="save_psi">Worktable!$H$30</definedName>
    <definedName name="Science">Skills!$B$146:$B$154</definedName>
    <definedName name="Seafarer">Experience!$B$83:$B$89</definedName>
    <definedName name="Select_First">Experience!$U$2</definedName>
    <definedName name="sf_wp1">WP!$G$271:$J$276</definedName>
    <definedName name="sf_wp2">WP!$H$271:$J$276</definedName>
    <definedName name="sf_wp3">WP!$I$271:$J$276</definedName>
    <definedName name="shield">Combat!$A$293:$H$307</definedName>
    <definedName name="skill_list">Skills!$BA$3:$BA$20</definedName>
    <definedName name="skill_select">'Skills Worktable'!$C$2:$E$46</definedName>
    <definedName name="skills_chart">Skills!$B$3:$J$209</definedName>
    <definedName name="sn_ps_punch">Combat!$AC$5:$AG$12</definedName>
    <definedName name="sn_punch_chart">Combat!$AA$4:$AA$6</definedName>
    <definedName name="spear">Combat!$A$323:$H$337</definedName>
    <definedName name="special_col">WP!$A$211:$A$237</definedName>
    <definedName name="special_row">WP!$A$211:$Q$211</definedName>
    <definedName name="special_search">WP!$A$212:$B$237</definedName>
    <definedName name="staff">Combat!$A$338:$H$352</definedName>
    <definedName name="strike_col">WP!$A$4:$A$30</definedName>
    <definedName name="strike_row">WP!$A$4:$P$4</definedName>
    <definedName name="super_throw">Worktable!$N$13</definedName>
    <definedName name="sword">Combat!$A$353:$H$367</definedName>
    <definedName name="target_bonus">WP!$B$207:$P$208</definedName>
    <definedName name="Technical">Skills!$B$117:$B$145</definedName>
    <definedName name="throw_col">WP!$A$62:$A$88</definedName>
    <definedName name="throw_row">WP!$A$62:$P$62</definedName>
    <definedName name="total_attack">Worktable!$H$17</definedName>
    <definedName name="total_attacks">Worktable!$H$17</definedName>
    <definedName name="total_damage">Worktable!$H$24</definedName>
    <definedName name="total_dodge">Worktable!$H$21</definedName>
    <definedName name="total_hp">Worktable!$K$34</definedName>
    <definedName name="total_init">Worktable!$H$18</definedName>
    <definedName name="total_initiative">Worktable!$H$18</definedName>
    <definedName name="total_iq">Worktable!$G$2</definedName>
    <definedName name="total_isp">Worktable!$T$31</definedName>
    <definedName name="total_ma">Worktable!$G$4</definedName>
    <definedName name="total_me">Worktable!$G$3</definedName>
    <definedName name="total_parry">Worktable!$H$20</definedName>
    <definedName name="total_pb">Worktable!$G$8</definedName>
    <definedName name="total_pe">Worktable!$G$7</definedName>
    <definedName name="total_pp">Worktable!$G$6</definedName>
    <definedName name="total_ppe">Worktable!$T$27</definedName>
    <definedName name="total_ps">Worktable!$G$5</definedName>
    <definedName name="total_pull">Worktable!$H$23</definedName>
    <definedName name="total_roll">Worktable!$H$22</definedName>
    <definedName name="total_sdc">Worktable!$H$25</definedName>
    <definedName name="total_spd">Worktable!$G$9</definedName>
    <definedName name="total_strike">Worktable!$H$19</definedName>
    <definedName name="true_alt">Combat!$P$55:$AD$59</definedName>
    <definedName name="true_armor">Combat!$O$49:$S$51</definedName>
    <definedName name="true_weapons">Combat!$O$55:$AD$59</definedName>
    <definedName name="true_wp" localSheetId="12">'Printer - Combat Sheet'!$A$26:$U$30</definedName>
    <definedName name="true_wp">'Combat Sheet'!$A$26:$U$30</definedName>
    <definedName name="unarmed_damage">Combat!$O$5:$T$22</definedName>
    <definedName name="vl_wp1">WP!$A$279:$P$283</definedName>
    <definedName name="vl_wp2">WP!$A$286:$P$290</definedName>
    <definedName name="vl_wp3">WP!$A$293:$P$297</definedName>
    <definedName name="weapon_bonus">Combat!$Y$29:$Y$37</definedName>
    <definedName name="weapon_ref">Combat!$O$2:$Z$25</definedName>
    <definedName name="whip">Combat!$A$383:$H$397</definedName>
    <definedName name="Wilderness">Skills!$B$181:$B$194</definedName>
    <definedName name="WP">Skills!$B$155:$B$180</definedName>
    <definedName name="wp_archery">WP!$A$179:$P$179</definedName>
    <definedName name="wp_bonus">Combat!$A$142:$H$397</definedName>
    <definedName name="wp_custom1">Customize!$L$49</definedName>
    <definedName name="wp_custom2">Customize!$C$70</definedName>
    <definedName name="wp_custom3">Customize!$L$70</definedName>
    <definedName name="wp_damage">WP!$A$120:$P$146</definedName>
    <definedName name="wp_entangle">WP!$A$91:$P$117</definedName>
    <definedName name="wp_features">WP!$A$240:$Q$266</definedName>
    <definedName name="wp_parry">WP!$A$33:$P$59</definedName>
    <definedName name="wp_range">WP!$A$149:$P$175</definedName>
    <definedName name="wp_rof">WP!$A$178:$P$204</definedName>
    <definedName name="wp_search">'Skills Worktable'!$C$2:$L$46</definedName>
    <definedName name="wp_special">WP!$A$211:$Q$237</definedName>
    <definedName name="wp_strike">WP!$A$4:$Q$30</definedName>
    <definedName name="wp_throw">WP!$A$62:$P$88</definedName>
    <definedName name="xp" localSheetId="10">'Printer - Character Sheet'!$F$8</definedName>
    <definedName name="xp">'Character Sheet'!$F$8</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H5" i="22" l="1"/>
  <c r="Q95" i="24" l="1"/>
  <c r="Q93" i="24"/>
  <c r="Q92" i="24"/>
  <c r="P95" i="24"/>
  <c r="P93" i="24"/>
  <c r="P92" i="24"/>
  <c r="N95" i="24"/>
  <c r="N93" i="24"/>
  <c r="N92" i="24"/>
  <c r="M95" i="24"/>
  <c r="M93" i="24"/>
  <c r="M92" i="24"/>
  <c r="I95" i="24"/>
  <c r="I93" i="24"/>
  <c r="I92" i="24"/>
  <c r="Q105" i="24"/>
  <c r="P105" i="24"/>
  <c r="N105" i="24"/>
  <c r="M105" i="24"/>
  <c r="I105" i="24"/>
  <c r="Q104" i="24"/>
  <c r="P104" i="24"/>
  <c r="N104" i="24"/>
  <c r="M104" i="24"/>
  <c r="I104" i="24"/>
  <c r="Q103" i="24"/>
  <c r="P103" i="24"/>
  <c r="N103" i="24"/>
  <c r="M103" i="24"/>
  <c r="I103" i="24"/>
  <c r="Q102" i="24"/>
  <c r="P102" i="24"/>
  <c r="N102" i="24"/>
  <c r="M102" i="24"/>
  <c r="I102" i="24"/>
  <c r="Q101" i="24"/>
  <c r="P101" i="24"/>
  <c r="N101" i="24"/>
  <c r="M101" i="24"/>
  <c r="I101" i="24"/>
  <c r="Q100" i="24"/>
  <c r="P100" i="24"/>
  <c r="N100" i="24"/>
  <c r="M100" i="24"/>
  <c r="I100" i="24"/>
  <c r="Q99" i="24"/>
  <c r="P99" i="24"/>
  <c r="N99" i="24"/>
  <c r="M99" i="24"/>
  <c r="I99" i="24"/>
  <c r="Q98" i="24"/>
  <c r="P98" i="24"/>
  <c r="N98" i="24"/>
  <c r="M98" i="24"/>
  <c r="I98" i="24"/>
  <c r="Q97" i="24"/>
  <c r="P97" i="24"/>
  <c r="N97" i="24"/>
  <c r="M97" i="24"/>
  <c r="I97" i="24"/>
  <c r="Q91" i="24"/>
  <c r="P91" i="24"/>
  <c r="N91" i="24"/>
  <c r="M91" i="24"/>
  <c r="I91" i="24"/>
  <c r="Q90" i="24"/>
  <c r="P90" i="24"/>
  <c r="N90" i="24"/>
  <c r="M90" i="24"/>
  <c r="I90" i="24"/>
  <c r="Q89" i="24"/>
  <c r="P89" i="24"/>
  <c r="N89" i="24"/>
  <c r="M89" i="24"/>
  <c r="I89" i="24"/>
  <c r="Q88" i="24"/>
  <c r="P88" i="24"/>
  <c r="N88" i="24"/>
  <c r="M88" i="24"/>
  <c r="I88" i="24"/>
  <c r="Q87" i="24"/>
  <c r="P87" i="24"/>
  <c r="N87" i="24"/>
  <c r="M87" i="24"/>
  <c r="I87" i="24"/>
  <c r="Q86" i="24"/>
  <c r="P86" i="24"/>
  <c r="N86" i="24"/>
  <c r="M86" i="24"/>
  <c r="I86" i="24"/>
  <c r="Q85" i="24"/>
  <c r="P85" i="24"/>
  <c r="N85" i="24"/>
  <c r="M85" i="24"/>
  <c r="I85" i="24"/>
  <c r="Q84" i="24"/>
  <c r="P84" i="24"/>
  <c r="N84" i="24"/>
  <c r="M84" i="24"/>
  <c r="I84" i="24"/>
  <c r="Q83" i="24"/>
  <c r="P83" i="24"/>
  <c r="N83" i="24"/>
  <c r="M83" i="24"/>
  <c r="I83" i="24"/>
  <c r="Q82" i="24"/>
  <c r="P82" i="24"/>
  <c r="N82" i="24"/>
  <c r="M82" i="24"/>
  <c r="I82" i="24"/>
  <c r="Q81" i="24"/>
  <c r="P81" i="24"/>
  <c r="N81" i="24"/>
  <c r="M81" i="24"/>
  <c r="I81" i="24"/>
  <c r="Q80" i="24"/>
  <c r="P80" i="24"/>
  <c r="N80" i="24"/>
  <c r="M80" i="24"/>
  <c r="I80" i="24"/>
  <c r="Q79" i="24"/>
  <c r="P79" i="24"/>
  <c r="N79" i="24"/>
  <c r="M79" i="24"/>
  <c r="I79" i="24"/>
  <c r="Q78" i="24"/>
  <c r="P78" i="24"/>
  <c r="N78" i="24"/>
  <c r="M78" i="24"/>
  <c r="I78" i="24"/>
  <c r="Q77" i="24"/>
  <c r="P77" i="24"/>
  <c r="N77" i="24"/>
  <c r="M77" i="24"/>
  <c r="I77" i="24"/>
  <c r="Q76" i="24"/>
  <c r="P76" i="24"/>
  <c r="N76" i="24"/>
  <c r="M76" i="24"/>
  <c r="I76" i="24"/>
  <c r="Q75" i="24"/>
  <c r="P75" i="24"/>
  <c r="N75" i="24"/>
  <c r="M75" i="24"/>
  <c r="I75" i="24"/>
  <c r="Q74" i="24"/>
  <c r="P74" i="24"/>
  <c r="N74" i="24"/>
  <c r="M74" i="24"/>
  <c r="I74" i="24"/>
  <c r="Q73" i="24"/>
  <c r="P73" i="24"/>
  <c r="N73" i="24"/>
  <c r="M73" i="24"/>
  <c r="I73" i="24"/>
  <c r="Q72" i="24"/>
  <c r="P72" i="24"/>
  <c r="N72" i="24"/>
  <c r="M72" i="24"/>
  <c r="I72" i="24"/>
  <c r="Q71" i="24"/>
  <c r="P71" i="24"/>
  <c r="N71" i="24"/>
  <c r="M71" i="24"/>
  <c r="I71" i="24"/>
  <c r="Q70" i="24"/>
  <c r="P70" i="24"/>
  <c r="N70" i="24"/>
  <c r="M70" i="24"/>
  <c r="I70" i="24"/>
  <c r="Q69" i="24"/>
  <c r="P69" i="24"/>
  <c r="N69" i="24"/>
  <c r="M69" i="24"/>
  <c r="I69" i="24"/>
  <c r="Q68" i="24"/>
  <c r="P68" i="24"/>
  <c r="N68" i="24"/>
  <c r="M68" i="24"/>
  <c r="I68" i="24"/>
  <c r="Q67" i="24"/>
  <c r="P67" i="24"/>
  <c r="N67" i="24"/>
  <c r="M67" i="24"/>
  <c r="I67" i="24"/>
  <c r="Q66" i="24"/>
  <c r="P66" i="24"/>
  <c r="N66" i="24"/>
  <c r="M66" i="24"/>
  <c r="I66" i="24"/>
  <c r="Q65" i="24"/>
  <c r="P65" i="24"/>
  <c r="N65" i="24"/>
  <c r="M65" i="24"/>
  <c r="I65" i="24"/>
  <c r="N64" i="24"/>
  <c r="M64" i="24"/>
  <c r="Q64" i="24"/>
  <c r="P64" i="24"/>
  <c r="I64" i="24"/>
  <c r="K9" i="24"/>
  <c r="A106" i="24"/>
  <c r="G103" i="24"/>
  <c r="G102" i="24"/>
  <c r="G101" i="24"/>
  <c r="G100" i="24"/>
  <c r="G99" i="24"/>
  <c r="D103" i="24"/>
  <c r="D102" i="24"/>
  <c r="D101" i="24"/>
  <c r="D100" i="24"/>
  <c r="D99" i="24"/>
  <c r="D98" i="24"/>
  <c r="D105" i="24"/>
  <c r="D104" i="24"/>
  <c r="D97" i="24"/>
  <c r="A85" i="24"/>
  <c r="A86" i="24"/>
  <c r="A87" i="24"/>
  <c r="A88" i="24"/>
  <c r="A89" i="24"/>
  <c r="A90" i="24"/>
  <c r="A91" i="24"/>
  <c r="A92" i="24"/>
  <c r="A93" i="24"/>
  <c r="A84" i="24"/>
  <c r="A82" i="24"/>
  <c r="F77" i="24"/>
  <c r="F78" i="24"/>
  <c r="F79" i="24"/>
  <c r="F80" i="24"/>
  <c r="F81" i="24"/>
  <c r="F82" i="24"/>
  <c r="F76" i="24"/>
  <c r="B76" i="24"/>
  <c r="E82" i="24"/>
  <c r="E81" i="24"/>
  <c r="E80" i="24"/>
  <c r="E79" i="24"/>
  <c r="E78" i="24"/>
  <c r="E77" i="24"/>
  <c r="E76" i="24"/>
  <c r="B77" i="24"/>
  <c r="B78" i="24"/>
  <c r="B79" i="24"/>
  <c r="B80" i="24"/>
  <c r="B81" i="24"/>
  <c r="B82" i="24"/>
  <c r="A77" i="24"/>
  <c r="A78" i="24"/>
  <c r="A79" i="24"/>
  <c r="A80" i="24"/>
  <c r="A81" i="24"/>
  <c r="A76" i="24"/>
  <c r="A64" i="24"/>
  <c r="A65" i="24"/>
  <c r="A66" i="24"/>
  <c r="A67" i="24"/>
  <c r="A68" i="24"/>
  <c r="A69" i="24"/>
  <c r="A70" i="24"/>
  <c r="A71" i="24"/>
  <c r="A72" i="24"/>
  <c r="A73" i="24"/>
  <c r="A117" i="24"/>
  <c r="A116" i="24"/>
  <c r="A115" i="24"/>
  <c r="A114" i="24"/>
  <c r="A113" i="24"/>
  <c r="A112" i="24"/>
  <c r="A111" i="24"/>
  <c r="A110" i="24"/>
  <c r="A109" i="24"/>
  <c r="A56" i="24"/>
  <c r="A57" i="24"/>
  <c r="A58" i="24"/>
  <c r="A59" i="24"/>
  <c r="A55" i="24"/>
  <c r="N8" i="24"/>
  <c r="N7" i="24"/>
  <c r="N6" i="24"/>
  <c r="N5" i="24"/>
  <c r="N4" i="24"/>
  <c r="F4" i="24"/>
  <c r="P11" i="24"/>
  <c r="P10" i="24"/>
  <c r="P9" i="24"/>
  <c r="K11" i="24"/>
  <c r="K10" i="24"/>
  <c r="F8" i="24"/>
  <c r="F11" i="24"/>
  <c r="F10" i="24"/>
  <c r="F9" i="24"/>
  <c r="F5" i="24"/>
  <c r="N52" i="24"/>
  <c r="K52" i="24"/>
  <c r="H52" i="24"/>
  <c r="E52" i="24"/>
  <c r="E51" i="24"/>
  <c r="E50" i="24"/>
  <c r="Q45" i="24"/>
  <c r="N45" i="24"/>
  <c r="D45" i="24"/>
  <c r="Q42" i="24"/>
  <c r="N40" i="24"/>
  <c r="J40" i="24"/>
  <c r="M37" i="24"/>
  <c r="G37" i="24"/>
  <c r="A37" i="24"/>
  <c r="M36" i="24"/>
  <c r="G36" i="24"/>
  <c r="A36" i="24"/>
  <c r="M35" i="24"/>
  <c r="G35" i="24"/>
  <c r="A35" i="24"/>
  <c r="M34" i="24"/>
  <c r="G34" i="24"/>
  <c r="A34" i="24"/>
  <c r="M33" i="24"/>
  <c r="G33" i="24"/>
  <c r="A33" i="24"/>
  <c r="M32" i="24"/>
  <c r="G32" i="24"/>
  <c r="A32" i="24"/>
  <c r="M31" i="24"/>
  <c r="G31" i="24"/>
  <c r="A31" i="24"/>
  <c r="M30" i="24"/>
  <c r="G30" i="24"/>
  <c r="A30" i="24"/>
  <c r="M29" i="24"/>
  <c r="G29" i="24"/>
  <c r="A29" i="24"/>
  <c r="M28" i="24"/>
  <c r="G28" i="24"/>
  <c r="A28" i="24"/>
  <c r="M27" i="24"/>
  <c r="G27" i="24"/>
  <c r="A27" i="24"/>
  <c r="M26" i="24"/>
  <c r="G26" i="24"/>
  <c r="A26" i="24"/>
  <c r="M25" i="24"/>
  <c r="G25" i="24"/>
  <c r="A25" i="24"/>
  <c r="M24" i="24"/>
  <c r="G24" i="24"/>
  <c r="A24" i="24"/>
  <c r="M23" i="24"/>
  <c r="G23" i="24"/>
  <c r="A23" i="24"/>
  <c r="L19" i="24"/>
  <c r="L18" i="24" s="1"/>
  <c r="L16" i="24"/>
  <c r="F16" i="24"/>
  <c r="L15" i="24"/>
  <c r="F15" i="24"/>
  <c r="B11" i="24"/>
  <c r="L17" i="24" s="1"/>
  <c r="B10" i="24"/>
  <c r="B9" i="24"/>
  <c r="B8" i="24"/>
  <c r="F7" i="24"/>
  <c r="B7" i="24"/>
  <c r="Q15" i="24" s="1"/>
  <c r="J6" i="24"/>
  <c r="F6" i="24"/>
  <c r="B6" i="24"/>
  <c r="J5" i="24"/>
  <c r="B5" i="24"/>
  <c r="B4" i="24"/>
  <c r="P106" i="24" l="1"/>
  <c r="Q106" i="24"/>
  <c r="M106" i="24"/>
  <c r="A74" i="24"/>
  <c r="Q14" i="24"/>
  <c r="Q17" i="24"/>
  <c r="Q16" i="24" s="1"/>
  <c r="L14" i="24"/>
  <c r="U58" i="22"/>
  <c r="T58" i="22"/>
  <c r="S58" i="22"/>
  <c r="F58" i="22"/>
  <c r="U57" i="22"/>
  <c r="T57" i="22"/>
  <c r="S57" i="22"/>
  <c r="P57" i="22"/>
  <c r="O57" i="22"/>
  <c r="M57" i="22"/>
  <c r="K57" i="22"/>
  <c r="I57" i="22"/>
  <c r="E57" i="22"/>
  <c r="U56" i="22"/>
  <c r="T56" i="22"/>
  <c r="S56" i="22"/>
  <c r="F56" i="22"/>
  <c r="U55" i="22"/>
  <c r="T55" i="22"/>
  <c r="S55" i="22"/>
  <c r="P55" i="22"/>
  <c r="O55" i="22"/>
  <c r="M55" i="22"/>
  <c r="K55" i="22"/>
  <c r="I55" i="22"/>
  <c r="E55" i="22"/>
  <c r="U54" i="22"/>
  <c r="T54" i="22"/>
  <c r="S54" i="22"/>
  <c r="F54" i="22"/>
  <c r="U53" i="22"/>
  <c r="T53" i="22"/>
  <c r="S53" i="22"/>
  <c r="P53" i="22"/>
  <c r="O53" i="22"/>
  <c r="M53" i="22"/>
  <c r="K53" i="22"/>
  <c r="I53" i="22"/>
  <c r="E53" i="22"/>
  <c r="F52" i="22"/>
  <c r="F51" i="22"/>
  <c r="F50" i="22"/>
  <c r="U49" i="22"/>
  <c r="T49" i="22"/>
  <c r="S49" i="22"/>
  <c r="F49" i="22"/>
  <c r="U48" i="22"/>
  <c r="T48" i="22"/>
  <c r="S48" i="22"/>
  <c r="P48" i="22"/>
  <c r="O48" i="22"/>
  <c r="M48" i="22"/>
  <c r="K48" i="22"/>
  <c r="I48" i="22"/>
  <c r="E48" i="22"/>
  <c r="F46" i="22"/>
  <c r="F47" i="22"/>
  <c r="F45" i="22"/>
  <c r="F44" i="22"/>
  <c r="E43" i="22"/>
  <c r="U44" i="22"/>
  <c r="T44" i="22"/>
  <c r="S44" i="22"/>
  <c r="T43" i="22"/>
  <c r="U43" i="22"/>
  <c r="S43" i="22"/>
  <c r="P43" i="22"/>
  <c r="O43" i="22"/>
  <c r="M43" i="22"/>
  <c r="K43" i="22"/>
  <c r="I43" i="22"/>
  <c r="D39" i="22"/>
  <c r="E35" i="22"/>
  <c r="E36" i="22"/>
  <c r="E37" i="22"/>
  <c r="E34" i="22"/>
  <c r="D33" i="22"/>
  <c r="R39" i="22"/>
  <c r="L39" i="22"/>
  <c r="H39" i="22"/>
  <c r="R38" i="22"/>
  <c r="L38" i="22"/>
  <c r="H38" i="22"/>
  <c r="D38" i="22"/>
  <c r="R33" i="22"/>
  <c r="L33" i="22"/>
  <c r="H33" i="22"/>
  <c r="E5" i="22"/>
  <c r="A26" i="22" l="1"/>
  <c r="N26" i="22" s="1"/>
  <c r="A27" i="22"/>
  <c r="U27" i="22" s="1"/>
  <c r="A28" i="22"/>
  <c r="U28" i="22" s="1"/>
  <c r="A29" i="22"/>
  <c r="S29" i="22" s="1"/>
  <c r="A30" i="22"/>
  <c r="R30" i="22" s="1"/>
  <c r="E6" i="22"/>
  <c r="N122" i="21"/>
  <c r="H122" i="21"/>
  <c r="B122" i="21"/>
  <c r="O121" i="21"/>
  <c r="I121" i="21"/>
  <c r="C121" i="21"/>
  <c r="O120" i="21"/>
  <c r="I120" i="21"/>
  <c r="C120" i="21"/>
  <c r="O119" i="21"/>
  <c r="I119" i="21"/>
  <c r="C119" i="21"/>
  <c r="O118" i="21"/>
  <c r="I118" i="21"/>
  <c r="C118" i="21"/>
  <c r="O117" i="21"/>
  <c r="I117" i="21"/>
  <c r="C117" i="21"/>
  <c r="O116" i="21"/>
  <c r="I116" i="21"/>
  <c r="C116" i="21"/>
  <c r="N114" i="21"/>
  <c r="H114" i="21"/>
  <c r="B114" i="21"/>
  <c r="O113" i="21"/>
  <c r="I113" i="21"/>
  <c r="C113" i="21"/>
  <c r="O112" i="21"/>
  <c r="I112" i="21"/>
  <c r="C112" i="21"/>
  <c r="O111" i="21"/>
  <c r="I111" i="21"/>
  <c r="C111" i="21"/>
  <c r="O110" i="21"/>
  <c r="I110" i="21"/>
  <c r="C110" i="21"/>
  <c r="O109" i="21"/>
  <c r="I109" i="21"/>
  <c r="C109" i="21"/>
  <c r="O108" i="21"/>
  <c r="I108" i="21"/>
  <c r="C108" i="21"/>
  <c r="N106" i="21"/>
  <c r="H106" i="21"/>
  <c r="B106" i="21"/>
  <c r="O105" i="21"/>
  <c r="I105" i="21"/>
  <c r="C105" i="21"/>
  <c r="O104" i="21"/>
  <c r="I104" i="21"/>
  <c r="C104" i="21"/>
  <c r="O103" i="21"/>
  <c r="I103" i="21"/>
  <c r="C103" i="21"/>
  <c r="O102" i="21"/>
  <c r="I102" i="21"/>
  <c r="C102" i="21"/>
  <c r="O101" i="21"/>
  <c r="I101" i="21"/>
  <c r="C101" i="21"/>
  <c r="O100" i="21"/>
  <c r="I100" i="21"/>
  <c r="C100" i="21"/>
  <c r="N98" i="21"/>
  <c r="H98" i="21"/>
  <c r="B98" i="21"/>
  <c r="O97" i="21"/>
  <c r="I97" i="21"/>
  <c r="C97" i="21"/>
  <c r="O96" i="21"/>
  <c r="I96" i="21"/>
  <c r="C96" i="21"/>
  <c r="O95" i="21"/>
  <c r="I95" i="21"/>
  <c r="C95" i="21"/>
  <c r="O94" i="21"/>
  <c r="I94" i="21"/>
  <c r="C94" i="21"/>
  <c r="O93" i="21"/>
  <c r="I93" i="21"/>
  <c r="C93" i="21"/>
  <c r="O92" i="21"/>
  <c r="I92" i="21"/>
  <c r="C92" i="21"/>
  <c r="N90" i="21"/>
  <c r="H90" i="21"/>
  <c r="B90" i="21"/>
  <c r="O89" i="21"/>
  <c r="I89" i="21"/>
  <c r="C89" i="21"/>
  <c r="O88" i="21"/>
  <c r="I88" i="21"/>
  <c r="C88" i="21"/>
  <c r="O87" i="21"/>
  <c r="I87" i="21"/>
  <c r="C87" i="21"/>
  <c r="O86" i="21"/>
  <c r="I86" i="21"/>
  <c r="C86" i="21"/>
  <c r="O85" i="21"/>
  <c r="I85" i="21"/>
  <c r="C85" i="21"/>
  <c r="O84" i="21"/>
  <c r="I84" i="21"/>
  <c r="C84" i="21"/>
  <c r="N82" i="21"/>
  <c r="H82" i="21"/>
  <c r="B82" i="21"/>
  <c r="O81" i="21"/>
  <c r="I81" i="21"/>
  <c r="C81" i="21"/>
  <c r="O80" i="21"/>
  <c r="I80" i="21"/>
  <c r="C80" i="21"/>
  <c r="O79" i="21"/>
  <c r="I79" i="21"/>
  <c r="C79" i="21"/>
  <c r="O78" i="21"/>
  <c r="I78" i="21"/>
  <c r="C78" i="21"/>
  <c r="O77" i="21"/>
  <c r="I77" i="21"/>
  <c r="C77" i="21"/>
  <c r="O76" i="21"/>
  <c r="I76" i="21"/>
  <c r="C76" i="21"/>
  <c r="N74" i="21"/>
  <c r="H74" i="21"/>
  <c r="B74" i="21"/>
  <c r="O73" i="21"/>
  <c r="I73" i="21"/>
  <c r="C73" i="21"/>
  <c r="O72" i="21"/>
  <c r="I72" i="21"/>
  <c r="C72" i="21"/>
  <c r="O71" i="21"/>
  <c r="I71" i="21"/>
  <c r="C71" i="21"/>
  <c r="O70" i="21"/>
  <c r="I70" i="21"/>
  <c r="C70" i="21"/>
  <c r="O69" i="21"/>
  <c r="I69" i="21"/>
  <c r="C69" i="21"/>
  <c r="O68" i="21"/>
  <c r="I68" i="21"/>
  <c r="C68" i="21"/>
  <c r="N62" i="21"/>
  <c r="H62" i="21"/>
  <c r="B62" i="21"/>
  <c r="O61" i="21"/>
  <c r="I61" i="21"/>
  <c r="C61" i="21"/>
  <c r="O60" i="21"/>
  <c r="I60" i="21"/>
  <c r="C60" i="21"/>
  <c r="O59" i="21"/>
  <c r="I59" i="21"/>
  <c r="C59" i="21"/>
  <c r="O58" i="21"/>
  <c r="I58" i="21"/>
  <c r="C58" i="21"/>
  <c r="O57" i="21"/>
  <c r="I57" i="21"/>
  <c r="C57" i="21"/>
  <c r="O56" i="21"/>
  <c r="I56" i="21"/>
  <c r="C56" i="21"/>
  <c r="N54" i="21"/>
  <c r="H54" i="21"/>
  <c r="B54" i="21"/>
  <c r="O53" i="21"/>
  <c r="I53" i="21"/>
  <c r="C53" i="21"/>
  <c r="O52" i="21"/>
  <c r="I52" i="21"/>
  <c r="C52" i="21"/>
  <c r="O51" i="21"/>
  <c r="I51" i="21"/>
  <c r="C51" i="21"/>
  <c r="O50" i="21"/>
  <c r="I50" i="21"/>
  <c r="C50" i="21"/>
  <c r="O49" i="21"/>
  <c r="I49" i="21"/>
  <c r="C49" i="21"/>
  <c r="O48" i="21"/>
  <c r="I48" i="21"/>
  <c r="C48" i="21"/>
  <c r="N46" i="21"/>
  <c r="H46" i="21"/>
  <c r="B46" i="21"/>
  <c r="O45" i="21"/>
  <c r="I45" i="21"/>
  <c r="C45" i="21"/>
  <c r="O44" i="21"/>
  <c r="I44" i="21"/>
  <c r="C44" i="21"/>
  <c r="O43" i="21"/>
  <c r="I43" i="21"/>
  <c r="C43" i="21"/>
  <c r="O42" i="21"/>
  <c r="I42" i="21"/>
  <c r="C42" i="21"/>
  <c r="O41" i="21"/>
  <c r="I41" i="21"/>
  <c r="C41" i="21"/>
  <c r="O40" i="21"/>
  <c r="I40" i="21"/>
  <c r="C40" i="21"/>
  <c r="N38" i="21"/>
  <c r="H38" i="21"/>
  <c r="B38" i="21"/>
  <c r="O37" i="21"/>
  <c r="I37" i="21"/>
  <c r="C37" i="21"/>
  <c r="O36" i="21"/>
  <c r="I36" i="21"/>
  <c r="C36" i="21"/>
  <c r="O35" i="21"/>
  <c r="I35" i="21"/>
  <c r="C35" i="21"/>
  <c r="O34" i="21"/>
  <c r="I34" i="21"/>
  <c r="C34" i="21"/>
  <c r="O33" i="21"/>
  <c r="I33" i="21"/>
  <c r="C33" i="21"/>
  <c r="O32" i="21"/>
  <c r="I32" i="21"/>
  <c r="C32" i="21"/>
  <c r="N30" i="21"/>
  <c r="H30" i="21"/>
  <c r="B30" i="21"/>
  <c r="O29" i="21"/>
  <c r="I29" i="21"/>
  <c r="C29" i="21"/>
  <c r="O28" i="21"/>
  <c r="I28" i="21"/>
  <c r="C28" i="21"/>
  <c r="O27" i="21"/>
  <c r="I27" i="21"/>
  <c r="C27" i="21"/>
  <c r="O26" i="21"/>
  <c r="I26" i="21"/>
  <c r="C26" i="21"/>
  <c r="O25" i="21"/>
  <c r="I25" i="21"/>
  <c r="C25" i="21"/>
  <c r="O24" i="21"/>
  <c r="I24" i="21"/>
  <c r="C24" i="21"/>
  <c r="N22" i="21"/>
  <c r="H22" i="21"/>
  <c r="B22" i="21"/>
  <c r="O21" i="21"/>
  <c r="I21" i="21"/>
  <c r="C21" i="21"/>
  <c r="O20" i="21"/>
  <c r="I20" i="21"/>
  <c r="C20" i="21"/>
  <c r="O19" i="21"/>
  <c r="I19" i="21"/>
  <c r="C19" i="21"/>
  <c r="O18" i="21"/>
  <c r="I18" i="21"/>
  <c r="C18" i="21"/>
  <c r="O17" i="21"/>
  <c r="I17" i="21"/>
  <c r="C17" i="21"/>
  <c r="O16" i="21"/>
  <c r="I16" i="21"/>
  <c r="C16" i="21"/>
  <c r="N14" i="21"/>
  <c r="O13" i="21"/>
  <c r="O12" i="21"/>
  <c r="O11" i="21"/>
  <c r="O10" i="21"/>
  <c r="O9" i="21"/>
  <c r="O8" i="21"/>
  <c r="H14" i="21"/>
  <c r="I13" i="21"/>
  <c r="I12" i="21"/>
  <c r="I11" i="21"/>
  <c r="I10" i="21"/>
  <c r="I9" i="21"/>
  <c r="I8" i="21"/>
  <c r="B14" i="21"/>
  <c r="C10" i="21"/>
  <c r="C11" i="21"/>
  <c r="C12" i="21"/>
  <c r="C13" i="21"/>
  <c r="C9" i="21"/>
  <c r="C8" i="21"/>
  <c r="N4" i="21"/>
  <c r="Q4" i="21" s="1"/>
  <c r="D4" i="21"/>
  <c r="H4" i="21"/>
  <c r="R23" i="22"/>
  <c r="R22" i="22"/>
  <c r="R21" i="22"/>
  <c r="R20" i="22"/>
  <c r="R19" i="22"/>
  <c r="T18" i="22"/>
  <c r="R18" i="22"/>
  <c r="T17" i="22"/>
  <c r="R17" i="22"/>
  <c r="T16" i="22"/>
  <c r="R16" i="22"/>
  <c r="T15" i="22"/>
  <c r="R15" i="22"/>
  <c r="T14" i="22"/>
  <c r="R14" i="22"/>
  <c r="T13" i="22"/>
  <c r="R13" i="22"/>
  <c r="T12" i="22"/>
  <c r="R12" i="22"/>
  <c r="T11" i="22"/>
  <c r="R11" i="22"/>
  <c r="T10" i="22"/>
  <c r="R10" i="22"/>
  <c r="E10" i="22"/>
  <c r="T9" i="22"/>
  <c r="R9" i="22"/>
  <c r="T8" i="22"/>
  <c r="R8" i="22"/>
  <c r="H8" i="22"/>
  <c r="E8" i="22"/>
  <c r="T7" i="22"/>
  <c r="R7" i="22"/>
  <c r="Q30" i="22" l="1"/>
  <c r="R29" i="22"/>
  <c r="S28" i="22"/>
  <c r="I30" i="22"/>
  <c r="N30" i="22"/>
  <c r="Q29" i="22"/>
  <c r="R28" i="22"/>
  <c r="U30" i="22"/>
  <c r="I29" i="22"/>
  <c r="N29" i="22"/>
  <c r="Q28" i="22"/>
  <c r="S30" i="22"/>
  <c r="U29" i="22"/>
  <c r="I28" i="22"/>
  <c r="N28" i="22"/>
  <c r="I27" i="22"/>
  <c r="N27" i="22"/>
  <c r="Q27" i="22"/>
  <c r="R27" i="22"/>
  <c r="S27" i="22"/>
  <c r="I26" i="22"/>
  <c r="Q26" i="22"/>
  <c r="R26" i="22"/>
  <c r="S26" i="22"/>
  <c r="U26" i="22"/>
  <c r="F8" i="1" l="1"/>
  <c r="AD55" i="10"/>
  <c r="AA55" i="10"/>
  <c r="AD56" i="10"/>
  <c r="AD59" i="10"/>
  <c r="AA59" i="10"/>
  <c r="AD58" i="10"/>
  <c r="AD57" i="10"/>
  <c r="O55" i="10"/>
  <c r="P55" i="10"/>
  <c r="Q55" i="10"/>
  <c r="R55" i="10"/>
  <c r="W55" i="10"/>
  <c r="S55" i="10"/>
  <c r="T55" i="10"/>
  <c r="V55" i="10"/>
  <c r="Z55" i="10"/>
  <c r="O56" i="10"/>
  <c r="P56" i="10"/>
  <c r="Q56" i="10"/>
  <c r="R56" i="10"/>
  <c r="Z56" i="10" s="1"/>
  <c r="X56" i="10"/>
  <c r="S56" i="10"/>
  <c r="T56" i="10"/>
  <c r="V56" i="10"/>
  <c r="W56" i="10"/>
  <c r="O57" i="10"/>
  <c r="P57" i="10"/>
  <c r="Q57" i="10"/>
  <c r="E50" i="1" s="1"/>
  <c r="R57" i="10"/>
  <c r="W57" i="10" s="1"/>
  <c r="S57" i="10"/>
  <c r="T57" i="10"/>
  <c r="V57" i="10"/>
  <c r="O58" i="10"/>
  <c r="P58" i="10"/>
  <c r="Q58" i="10"/>
  <c r="R58" i="10"/>
  <c r="W58" i="10"/>
  <c r="S58" i="10"/>
  <c r="T58" i="10"/>
  <c r="V58" i="10"/>
  <c r="O59" i="10"/>
  <c r="P59" i="10"/>
  <c r="Q59" i="10"/>
  <c r="R59" i="10"/>
  <c r="W59" i="10"/>
  <c r="S59" i="10"/>
  <c r="T59" i="10"/>
  <c r="V59" i="10"/>
  <c r="Z59" i="10"/>
  <c r="Y58" i="10"/>
  <c r="U58" i="10"/>
  <c r="Z58" i="10"/>
  <c r="AA58" i="10"/>
  <c r="Y57" i="10"/>
  <c r="U57" i="10"/>
  <c r="AA51" i="10"/>
  <c r="X57" i="10"/>
  <c r="AA57" i="10"/>
  <c r="AA56" i="10"/>
  <c r="Y59" i="10"/>
  <c r="U59" i="10"/>
  <c r="X58" i="10"/>
  <c r="Y55" i="10"/>
  <c r="U55" i="10"/>
  <c r="X59" i="10"/>
  <c r="Y56" i="10"/>
  <c r="U56" i="10"/>
  <c r="X55" i="10"/>
  <c r="I11" i="11"/>
  <c r="I18" i="11"/>
  <c r="A74" i="1"/>
  <c r="E273" i="14"/>
  <c r="B266" i="14" s="1"/>
  <c r="E266" i="14" s="1"/>
  <c r="C273" i="14"/>
  <c r="B237" i="14" s="1"/>
  <c r="H237" i="14" s="1"/>
  <c r="E272" i="14"/>
  <c r="B265" i="14" s="1"/>
  <c r="D265" i="14" s="1"/>
  <c r="E271" i="14"/>
  <c r="B264" i="14" s="1"/>
  <c r="K264" i="14" s="1"/>
  <c r="C272" i="14"/>
  <c r="B236" i="14" s="1"/>
  <c r="M236" i="14" s="1"/>
  <c r="C271" i="14"/>
  <c r="B235" i="14" s="1"/>
  <c r="J66" i="13"/>
  <c r="J87" i="13"/>
  <c r="A87" i="13"/>
  <c r="P204" i="14"/>
  <c r="P297" i="14" s="1"/>
  <c r="O204" i="14"/>
  <c r="O297" i="14"/>
  <c r="N204" i="14"/>
  <c r="N297" i="14" s="1"/>
  <c r="M204" i="14"/>
  <c r="M297" i="14"/>
  <c r="L204" i="14"/>
  <c r="L297" i="14" s="1"/>
  <c r="K204" i="14"/>
  <c r="K297" i="14"/>
  <c r="J204" i="14"/>
  <c r="J297" i="14" s="1"/>
  <c r="I204" i="14"/>
  <c r="I297" i="14"/>
  <c r="H204" i="14"/>
  <c r="H297" i="14" s="1"/>
  <c r="G204" i="14"/>
  <c r="G297" i="14"/>
  <c r="F204" i="14"/>
  <c r="F297" i="14" s="1"/>
  <c r="E204" i="14"/>
  <c r="E297" i="14"/>
  <c r="D204" i="14"/>
  <c r="D297" i="14" s="1"/>
  <c r="C204" i="14"/>
  <c r="C297" i="14"/>
  <c r="B204" i="14"/>
  <c r="B297" i="14" s="1"/>
  <c r="P203" i="14"/>
  <c r="P290" i="14"/>
  <c r="O203" i="14"/>
  <c r="O290" i="14" s="1"/>
  <c r="N203" i="14"/>
  <c r="N290" i="14"/>
  <c r="M203" i="14"/>
  <c r="M290" i="14" s="1"/>
  <c r="L203" i="14"/>
  <c r="L290" i="14"/>
  <c r="K203" i="14"/>
  <c r="K290" i="14" s="1"/>
  <c r="J203" i="14"/>
  <c r="J290" i="14"/>
  <c r="I203" i="14"/>
  <c r="I290" i="14" s="1"/>
  <c r="H203" i="14"/>
  <c r="H290" i="14"/>
  <c r="G203" i="14"/>
  <c r="G290" i="14" s="1"/>
  <c r="F203" i="14"/>
  <c r="F290" i="14"/>
  <c r="E203" i="14"/>
  <c r="E290" i="14" s="1"/>
  <c r="D203" i="14"/>
  <c r="D290" i="14"/>
  <c r="C203" i="14"/>
  <c r="C290" i="14" s="1"/>
  <c r="B203" i="14"/>
  <c r="B290" i="14"/>
  <c r="P202" i="14"/>
  <c r="P283" i="14" s="1"/>
  <c r="O202" i="14"/>
  <c r="O283" i="14"/>
  <c r="N202" i="14"/>
  <c r="N283" i="14" s="1"/>
  <c r="M202" i="14"/>
  <c r="M283" i="14"/>
  <c r="L202" i="14"/>
  <c r="L283" i="14" s="1"/>
  <c r="K202" i="14"/>
  <c r="K283" i="14"/>
  <c r="J202" i="14"/>
  <c r="J283" i="14" s="1"/>
  <c r="I202" i="14"/>
  <c r="I283" i="14"/>
  <c r="H202" i="14"/>
  <c r="H283" i="14" s="1"/>
  <c r="G202" i="14"/>
  <c r="G283" i="14"/>
  <c r="F202" i="14"/>
  <c r="F283" i="14" s="1"/>
  <c r="E202" i="14"/>
  <c r="E283" i="14"/>
  <c r="D202" i="14"/>
  <c r="D283" i="14" s="1"/>
  <c r="C202" i="14"/>
  <c r="C283" i="14"/>
  <c r="B202" i="14"/>
  <c r="B283" i="14" s="1"/>
  <c r="P117" i="14"/>
  <c r="P294" i="14"/>
  <c r="O117" i="14"/>
  <c r="O294" i="14" s="1"/>
  <c r="N117" i="14"/>
  <c r="N294" i="14"/>
  <c r="M117" i="14"/>
  <c r="M294" i="14" s="1"/>
  <c r="L117" i="14"/>
  <c r="L294" i="14"/>
  <c r="K117" i="14"/>
  <c r="K294" i="14" s="1"/>
  <c r="J117" i="14"/>
  <c r="J294" i="14"/>
  <c r="I117" i="14"/>
  <c r="I294" i="14" s="1"/>
  <c r="H117" i="14"/>
  <c r="H294" i="14"/>
  <c r="G117" i="14"/>
  <c r="G294" i="14" s="1"/>
  <c r="F117" i="14"/>
  <c r="F294" i="14"/>
  <c r="E117" i="14"/>
  <c r="E294" i="14" s="1"/>
  <c r="D117" i="14"/>
  <c r="D294" i="14"/>
  <c r="C117" i="14"/>
  <c r="C294" i="14" s="1"/>
  <c r="B117" i="14"/>
  <c r="B294" i="14"/>
  <c r="P116" i="14"/>
  <c r="P287" i="14" s="1"/>
  <c r="O116" i="14"/>
  <c r="O287" i="14"/>
  <c r="N116" i="14"/>
  <c r="N287" i="14" s="1"/>
  <c r="M116" i="14"/>
  <c r="M287" i="14"/>
  <c r="L116" i="14"/>
  <c r="L287" i="14" s="1"/>
  <c r="K116" i="14"/>
  <c r="K287" i="14"/>
  <c r="J116" i="14"/>
  <c r="J287" i="14" s="1"/>
  <c r="I116" i="14"/>
  <c r="I287" i="14"/>
  <c r="H116" i="14"/>
  <c r="H287" i="14" s="1"/>
  <c r="G116" i="14"/>
  <c r="G287" i="14"/>
  <c r="F116" i="14"/>
  <c r="F287" i="14" s="1"/>
  <c r="E116" i="14"/>
  <c r="E287" i="14"/>
  <c r="D116" i="14"/>
  <c r="D287" i="14" s="1"/>
  <c r="C116" i="14"/>
  <c r="C287" i="14"/>
  <c r="B116" i="14"/>
  <c r="B287" i="14" s="1"/>
  <c r="P115" i="14"/>
  <c r="P280" i="14"/>
  <c r="O115" i="14"/>
  <c r="O280" i="14" s="1"/>
  <c r="N115" i="14"/>
  <c r="N280" i="14"/>
  <c r="M115" i="14"/>
  <c r="M280" i="14" s="1"/>
  <c r="L115" i="14"/>
  <c r="L280" i="14"/>
  <c r="K115" i="14"/>
  <c r="K280" i="14" s="1"/>
  <c r="J115" i="14"/>
  <c r="J280" i="14"/>
  <c r="I115" i="14"/>
  <c r="I280" i="14" s="1"/>
  <c r="H115" i="14"/>
  <c r="H280" i="14"/>
  <c r="G115" i="14"/>
  <c r="G280" i="14" s="1"/>
  <c r="F115" i="14"/>
  <c r="F280" i="14"/>
  <c r="E115" i="14"/>
  <c r="E280" i="14" s="1"/>
  <c r="D115" i="14"/>
  <c r="D280" i="14"/>
  <c r="C115" i="14"/>
  <c r="C280" i="14" s="1"/>
  <c r="B115" i="14"/>
  <c r="B280" i="14"/>
  <c r="P88" i="14"/>
  <c r="P293" i="14" s="1"/>
  <c r="O88" i="14"/>
  <c r="O293" i="14"/>
  <c r="N88" i="14"/>
  <c r="N293" i="14" s="1"/>
  <c r="M88" i="14"/>
  <c r="M293" i="14"/>
  <c r="L88" i="14"/>
  <c r="L293" i="14" s="1"/>
  <c r="K88" i="14"/>
  <c r="K293" i="14"/>
  <c r="J88" i="14"/>
  <c r="J293" i="14" s="1"/>
  <c r="I88" i="14"/>
  <c r="I293" i="14"/>
  <c r="H88" i="14"/>
  <c r="H293" i="14" s="1"/>
  <c r="G88" i="14"/>
  <c r="G293" i="14"/>
  <c r="F88" i="14"/>
  <c r="F293" i="14" s="1"/>
  <c r="E88" i="14"/>
  <c r="E293" i="14"/>
  <c r="D88" i="14"/>
  <c r="D293" i="14" s="1"/>
  <c r="C88" i="14"/>
  <c r="C293" i="14"/>
  <c r="B88" i="14"/>
  <c r="B293" i="14" s="1"/>
  <c r="P87" i="14"/>
  <c r="P286" i="14"/>
  <c r="O87" i="14"/>
  <c r="O286" i="14" s="1"/>
  <c r="N87" i="14"/>
  <c r="N286" i="14"/>
  <c r="M87" i="14"/>
  <c r="M286" i="14" s="1"/>
  <c r="L87" i="14"/>
  <c r="L286" i="14"/>
  <c r="K87" i="14"/>
  <c r="K286" i="14" s="1"/>
  <c r="J87" i="14"/>
  <c r="J286" i="14"/>
  <c r="I87" i="14"/>
  <c r="I286" i="14" s="1"/>
  <c r="H87" i="14"/>
  <c r="H286" i="14"/>
  <c r="G87" i="14"/>
  <c r="G286" i="14" s="1"/>
  <c r="F87" i="14"/>
  <c r="F286" i="14"/>
  <c r="E87" i="14"/>
  <c r="E286" i="14" s="1"/>
  <c r="D87" i="14"/>
  <c r="D286" i="14"/>
  <c r="C87" i="14"/>
  <c r="C286" i="14" s="1"/>
  <c r="B87" i="14"/>
  <c r="B286" i="14"/>
  <c r="P86" i="14"/>
  <c r="P279" i="14" s="1"/>
  <c r="O86" i="14"/>
  <c r="O279" i="14"/>
  <c r="N86" i="14"/>
  <c r="N279" i="14" s="1"/>
  <c r="M86" i="14"/>
  <c r="M279" i="14"/>
  <c r="L86" i="14"/>
  <c r="L279" i="14" s="1"/>
  <c r="K86" i="14"/>
  <c r="K279" i="14"/>
  <c r="J86" i="14"/>
  <c r="J279" i="14" s="1"/>
  <c r="I86" i="14"/>
  <c r="I279" i="14"/>
  <c r="H86" i="14"/>
  <c r="H279" i="14" s="1"/>
  <c r="G86" i="14"/>
  <c r="G279" i="14"/>
  <c r="F86" i="14"/>
  <c r="F279" i="14" s="1"/>
  <c r="E86" i="14"/>
  <c r="E279" i="14"/>
  <c r="D86" i="14"/>
  <c r="D279" i="14" s="1"/>
  <c r="C86" i="14"/>
  <c r="C279" i="14"/>
  <c r="B86" i="14"/>
  <c r="B279" i="14" s="1"/>
  <c r="P30" i="14"/>
  <c r="O30" i="14"/>
  <c r="N30" i="14"/>
  <c r="M30" i="14"/>
  <c r="L30" i="14"/>
  <c r="K30" i="14"/>
  <c r="J30" i="14"/>
  <c r="I30" i="14"/>
  <c r="H30" i="14"/>
  <c r="G30" i="14"/>
  <c r="F30" i="14"/>
  <c r="E30" i="14"/>
  <c r="D30" i="14"/>
  <c r="C30" i="14"/>
  <c r="P29" i="14"/>
  <c r="O29" i="14"/>
  <c r="N29" i="14"/>
  <c r="M29" i="14"/>
  <c r="L29" i="14"/>
  <c r="K29" i="14"/>
  <c r="J29" i="14"/>
  <c r="I29" i="14"/>
  <c r="H29" i="14"/>
  <c r="G29" i="14"/>
  <c r="F29" i="14"/>
  <c r="E29" i="14"/>
  <c r="D29" i="14"/>
  <c r="C29" i="14"/>
  <c r="P175" i="14"/>
  <c r="P296" i="14"/>
  <c r="O175" i="14"/>
  <c r="O296" i="14" s="1"/>
  <c r="N175" i="14"/>
  <c r="N296" i="14"/>
  <c r="M175" i="14"/>
  <c r="M296" i="14" s="1"/>
  <c r="L175" i="14"/>
  <c r="L296" i="14"/>
  <c r="K175" i="14"/>
  <c r="K296" i="14" s="1"/>
  <c r="J175" i="14"/>
  <c r="J296" i="14"/>
  <c r="I175" i="14"/>
  <c r="I296" i="14" s="1"/>
  <c r="H175" i="14"/>
  <c r="H296" i="14"/>
  <c r="G175" i="14"/>
  <c r="G296" i="14" s="1"/>
  <c r="F175" i="14"/>
  <c r="F296" i="14"/>
  <c r="E175" i="14"/>
  <c r="E296" i="14" s="1"/>
  <c r="D175" i="14"/>
  <c r="D296" i="14"/>
  <c r="C175" i="14"/>
  <c r="C296" i="14" s="1"/>
  <c r="B175" i="14"/>
  <c r="B296" i="14"/>
  <c r="P174" i="14"/>
  <c r="P289" i="14" s="1"/>
  <c r="O174" i="14"/>
  <c r="O289" i="14"/>
  <c r="N174" i="14"/>
  <c r="N289" i="14" s="1"/>
  <c r="M174" i="14"/>
  <c r="M289" i="14"/>
  <c r="L174" i="14"/>
  <c r="L289" i="14" s="1"/>
  <c r="K174" i="14"/>
  <c r="K289" i="14"/>
  <c r="J174" i="14"/>
  <c r="J289" i="14" s="1"/>
  <c r="I174" i="14"/>
  <c r="I289" i="14"/>
  <c r="H174" i="14"/>
  <c r="H289" i="14" s="1"/>
  <c r="G174" i="14"/>
  <c r="G289" i="14"/>
  <c r="F174" i="14"/>
  <c r="F289" i="14" s="1"/>
  <c r="E174" i="14"/>
  <c r="E289" i="14"/>
  <c r="D174" i="14"/>
  <c r="D289" i="14" s="1"/>
  <c r="C174" i="14"/>
  <c r="C289" i="14"/>
  <c r="B174" i="14"/>
  <c r="B289" i="14" s="1"/>
  <c r="P173" i="14"/>
  <c r="P282" i="14"/>
  <c r="O173" i="14"/>
  <c r="O282" i="14" s="1"/>
  <c r="N173" i="14"/>
  <c r="N282" i="14"/>
  <c r="M173" i="14"/>
  <c r="M282" i="14" s="1"/>
  <c r="L173" i="14"/>
  <c r="L282" i="14"/>
  <c r="K173" i="14"/>
  <c r="K282" i="14"/>
  <c r="J173" i="14"/>
  <c r="J282" i="14"/>
  <c r="I173" i="14"/>
  <c r="I282" i="14"/>
  <c r="H173" i="14"/>
  <c r="H282" i="14"/>
  <c r="G173" i="14"/>
  <c r="G282" i="14"/>
  <c r="F173" i="14"/>
  <c r="F282" i="14"/>
  <c r="E173" i="14"/>
  <c r="E282" i="14"/>
  <c r="D173" i="14"/>
  <c r="D282" i="14"/>
  <c r="C173" i="14"/>
  <c r="C282" i="14"/>
  <c r="B173" i="14"/>
  <c r="B282" i="14"/>
  <c r="P146" i="14"/>
  <c r="P295" i="14"/>
  <c r="O146" i="14"/>
  <c r="O295" i="14"/>
  <c r="N146" i="14"/>
  <c r="N295" i="14"/>
  <c r="M146" i="14"/>
  <c r="M295" i="14"/>
  <c r="L146" i="14"/>
  <c r="L295" i="14"/>
  <c r="K146" i="14"/>
  <c r="K295" i="14"/>
  <c r="J146" i="14"/>
  <c r="J295" i="14"/>
  <c r="I146" i="14"/>
  <c r="I295" i="14"/>
  <c r="H146" i="14"/>
  <c r="H295" i="14"/>
  <c r="G146" i="14"/>
  <c r="G295" i="14"/>
  <c r="F146" i="14"/>
  <c r="F295" i="14"/>
  <c r="E146" i="14"/>
  <c r="E295" i="14"/>
  <c r="D146" i="14"/>
  <c r="D295" i="14"/>
  <c r="C146" i="14"/>
  <c r="C295" i="14"/>
  <c r="B146" i="14"/>
  <c r="B295" i="14"/>
  <c r="P145" i="14"/>
  <c r="P288" i="14"/>
  <c r="O145" i="14"/>
  <c r="O288" i="14"/>
  <c r="N145" i="14"/>
  <c r="N288" i="14"/>
  <c r="M145" i="14"/>
  <c r="M288" i="14"/>
  <c r="L145" i="14"/>
  <c r="L288" i="14"/>
  <c r="K145" i="14"/>
  <c r="K288" i="14"/>
  <c r="J145" i="14"/>
  <c r="J288" i="14"/>
  <c r="I145" i="14"/>
  <c r="I288" i="14"/>
  <c r="H145" i="14"/>
  <c r="H288" i="14"/>
  <c r="G145" i="14"/>
  <c r="G288" i="14"/>
  <c r="F145" i="14"/>
  <c r="F288" i="14"/>
  <c r="E145" i="14"/>
  <c r="E288" i="14"/>
  <c r="D145" i="14"/>
  <c r="D288" i="14"/>
  <c r="C145" i="14"/>
  <c r="C288" i="14"/>
  <c r="B145" i="14"/>
  <c r="B288" i="14"/>
  <c r="P144" i="14"/>
  <c r="P281" i="14"/>
  <c r="O144" i="14"/>
  <c r="O281" i="14"/>
  <c r="N144" i="14"/>
  <c r="N281" i="14"/>
  <c r="M144" i="14"/>
  <c r="M281" i="14"/>
  <c r="L144" i="14"/>
  <c r="L281" i="14"/>
  <c r="K144" i="14"/>
  <c r="K281" i="14"/>
  <c r="J144" i="14"/>
  <c r="J281" i="14"/>
  <c r="I144" i="14"/>
  <c r="I281" i="14"/>
  <c r="H144" i="14"/>
  <c r="H281" i="14"/>
  <c r="G144" i="14"/>
  <c r="G281" i="14"/>
  <c r="F144" i="14"/>
  <c r="F281" i="14"/>
  <c r="E144" i="14"/>
  <c r="E281" i="14"/>
  <c r="D144" i="14"/>
  <c r="D281" i="14"/>
  <c r="C144" i="14"/>
  <c r="C281" i="14"/>
  <c r="B144" i="14"/>
  <c r="B281" i="14"/>
  <c r="P59" i="14"/>
  <c r="O59" i="14"/>
  <c r="N59" i="14"/>
  <c r="M59" i="14"/>
  <c r="L59" i="14"/>
  <c r="K59" i="14"/>
  <c r="J59" i="14"/>
  <c r="I59" i="14"/>
  <c r="H59" i="14"/>
  <c r="G59" i="14"/>
  <c r="F59" i="14"/>
  <c r="E59" i="14"/>
  <c r="D59" i="14"/>
  <c r="C59" i="14"/>
  <c r="B59" i="14"/>
  <c r="P58" i="14"/>
  <c r="O58" i="14"/>
  <c r="N58" i="14"/>
  <c r="M58" i="14"/>
  <c r="L58" i="14"/>
  <c r="K58" i="14"/>
  <c r="J58" i="14"/>
  <c r="I58" i="14"/>
  <c r="H58" i="14"/>
  <c r="G58" i="14"/>
  <c r="F58" i="14"/>
  <c r="E58" i="14"/>
  <c r="D58" i="14"/>
  <c r="C58" i="14"/>
  <c r="B58" i="14"/>
  <c r="P57" i="14"/>
  <c r="O57" i="14"/>
  <c r="N57" i="14"/>
  <c r="M57" i="14"/>
  <c r="L57" i="14"/>
  <c r="K57" i="14"/>
  <c r="J57" i="14"/>
  <c r="I57" i="14"/>
  <c r="H57" i="14"/>
  <c r="G57" i="14"/>
  <c r="F57" i="14"/>
  <c r="E57" i="14"/>
  <c r="D57" i="14"/>
  <c r="C57" i="14"/>
  <c r="B57" i="14"/>
  <c r="N28" i="9"/>
  <c r="N29" i="9"/>
  <c r="N30" i="9"/>
  <c r="I28" i="9"/>
  <c r="I29" i="9"/>
  <c r="I30" i="9"/>
  <c r="P28" i="14"/>
  <c r="O28" i="14"/>
  <c r="N28" i="14"/>
  <c r="M28" i="14"/>
  <c r="L28" i="14"/>
  <c r="K28" i="14"/>
  <c r="J28" i="14"/>
  <c r="I28" i="14"/>
  <c r="H28" i="14"/>
  <c r="G28" i="14"/>
  <c r="F28" i="14"/>
  <c r="E28" i="14"/>
  <c r="D28" i="14"/>
  <c r="C28" i="14"/>
  <c r="B30" i="14"/>
  <c r="B29" i="14"/>
  <c r="B28" i="14"/>
  <c r="A144" i="14"/>
  <c r="A145" i="14"/>
  <c r="A146" i="14"/>
  <c r="B150" i="14"/>
  <c r="C150" i="14"/>
  <c r="D150" i="14"/>
  <c r="E150" i="14"/>
  <c r="F150" i="14"/>
  <c r="G150" i="14"/>
  <c r="H150" i="14"/>
  <c r="I150" i="14"/>
  <c r="J150" i="14"/>
  <c r="K150" i="14"/>
  <c r="L150" i="14"/>
  <c r="M150" i="14"/>
  <c r="N150" i="14"/>
  <c r="O150" i="14"/>
  <c r="P150" i="14"/>
  <c r="A266" i="14"/>
  <c r="A265" i="14"/>
  <c r="A264" i="14"/>
  <c r="A237" i="14"/>
  <c r="A236" i="14"/>
  <c r="A235" i="14"/>
  <c r="Q26" i="9"/>
  <c r="AA10" i="10"/>
  <c r="U30" i="9"/>
  <c r="R30" i="9"/>
  <c r="S27" i="9"/>
  <c r="S28" i="9"/>
  <c r="S29" i="9"/>
  <c r="S30" i="9"/>
  <c r="S26" i="9"/>
  <c r="Q27" i="9"/>
  <c r="Q28" i="9"/>
  <c r="Q29" i="9"/>
  <c r="Q30" i="9"/>
  <c r="Q241" i="14"/>
  <c r="P241" i="14"/>
  <c r="O241" i="14"/>
  <c r="N241" i="14"/>
  <c r="M241" i="14"/>
  <c r="L241" i="14"/>
  <c r="K241" i="14"/>
  <c r="J241" i="14"/>
  <c r="I241" i="14"/>
  <c r="H241" i="14"/>
  <c r="G241" i="14"/>
  <c r="F241" i="14"/>
  <c r="P234" i="14"/>
  <c r="Q234" i="14"/>
  <c r="O234" i="14"/>
  <c r="M234" i="14"/>
  <c r="N234" i="14"/>
  <c r="L234" i="14"/>
  <c r="J234" i="14"/>
  <c r="K234" i="14"/>
  <c r="I234" i="14"/>
  <c r="G234" i="14"/>
  <c r="H234" i="14"/>
  <c r="F234" i="14"/>
  <c r="E234" i="14"/>
  <c r="D234" i="14"/>
  <c r="O231" i="14"/>
  <c r="P231" i="14"/>
  <c r="Q231" i="14"/>
  <c r="N231" i="14"/>
  <c r="K231" i="14"/>
  <c r="L231" i="14"/>
  <c r="M231" i="14"/>
  <c r="J231" i="14"/>
  <c r="G231" i="14"/>
  <c r="H231" i="14"/>
  <c r="I231" i="14"/>
  <c r="F231" i="14"/>
  <c r="Q230" i="14"/>
  <c r="M230" i="14"/>
  <c r="N230" i="14"/>
  <c r="O230" i="14"/>
  <c r="P230" i="14"/>
  <c r="L230" i="14"/>
  <c r="H230" i="14"/>
  <c r="I230" i="14"/>
  <c r="J230" i="14"/>
  <c r="K230" i="14"/>
  <c r="G230" i="14"/>
  <c r="Q229" i="14"/>
  <c r="P229" i="14"/>
  <c r="M229" i="14"/>
  <c r="N229" i="14"/>
  <c r="O229" i="14"/>
  <c r="L229" i="14"/>
  <c r="I229" i="14"/>
  <c r="J229" i="14"/>
  <c r="K229" i="14"/>
  <c r="H229" i="14"/>
  <c r="F229" i="14"/>
  <c r="G229" i="14"/>
  <c r="E229" i="14"/>
  <c r="O226" i="14"/>
  <c r="P226" i="14"/>
  <c r="Q226" i="14"/>
  <c r="N226" i="14"/>
  <c r="J226" i="14"/>
  <c r="K226" i="14"/>
  <c r="L226" i="14"/>
  <c r="M226" i="14"/>
  <c r="I226" i="14"/>
  <c r="F226" i="14"/>
  <c r="G226" i="14"/>
  <c r="H226" i="14"/>
  <c r="E226" i="14"/>
  <c r="Q224" i="14"/>
  <c r="N224" i="14"/>
  <c r="O224" i="14"/>
  <c r="P224" i="14"/>
  <c r="M224" i="14"/>
  <c r="K224" i="14"/>
  <c r="L224" i="14"/>
  <c r="J224" i="14"/>
  <c r="H224" i="14"/>
  <c r="I224" i="14"/>
  <c r="G224" i="14"/>
  <c r="E224" i="14"/>
  <c r="F224" i="14"/>
  <c r="D224" i="14"/>
  <c r="O218" i="14"/>
  <c r="P218" i="14"/>
  <c r="Q218" i="14"/>
  <c r="N218" i="14"/>
  <c r="L218" i="14"/>
  <c r="M218" i="14"/>
  <c r="K218" i="14"/>
  <c r="I218" i="14"/>
  <c r="J218" i="14"/>
  <c r="H218" i="14"/>
  <c r="F218" i="14"/>
  <c r="G218" i="14"/>
  <c r="E218" i="14"/>
  <c r="P217" i="14"/>
  <c r="Q217" i="14"/>
  <c r="O217" i="14"/>
  <c r="N217" i="14"/>
  <c r="M217" i="14"/>
  <c r="K217" i="14"/>
  <c r="L217" i="14"/>
  <c r="J217" i="14"/>
  <c r="H217" i="14"/>
  <c r="I217" i="14"/>
  <c r="G217" i="14"/>
  <c r="F217" i="14"/>
  <c r="E217" i="14"/>
  <c r="D217" i="14"/>
  <c r="C217" i="14"/>
  <c r="Q215" i="14"/>
  <c r="M215" i="14"/>
  <c r="N215" i="14"/>
  <c r="O215" i="14"/>
  <c r="P215" i="14"/>
  <c r="L215" i="14"/>
  <c r="H215" i="14"/>
  <c r="I215" i="14"/>
  <c r="J215" i="14"/>
  <c r="K215" i="14"/>
  <c r="G215" i="14"/>
  <c r="E215" i="14"/>
  <c r="F215" i="14"/>
  <c r="D215" i="14"/>
  <c r="Q214" i="14"/>
  <c r="M214" i="14"/>
  <c r="N214" i="14"/>
  <c r="O214" i="14"/>
  <c r="P214" i="14"/>
  <c r="L214" i="14"/>
  <c r="H214" i="14"/>
  <c r="I214" i="14"/>
  <c r="J214" i="14"/>
  <c r="K214" i="14"/>
  <c r="G214" i="14"/>
  <c r="O213" i="14"/>
  <c r="P213" i="14"/>
  <c r="Q213" i="14"/>
  <c r="N213" i="14"/>
  <c r="K213" i="14"/>
  <c r="L213" i="14"/>
  <c r="M213" i="14"/>
  <c r="J213" i="14"/>
  <c r="G213" i="14"/>
  <c r="H213" i="14"/>
  <c r="I213" i="14"/>
  <c r="F213" i="14"/>
  <c r="E213" i="14"/>
  <c r="D213" i="14"/>
  <c r="Q212" i="14"/>
  <c r="P212" i="14"/>
  <c r="O212" i="14"/>
  <c r="N212" i="14"/>
  <c r="M212" i="14"/>
  <c r="L212" i="14"/>
  <c r="K212" i="14"/>
  <c r="J212" i="14"/>
  <c r="I212" i="14"/>
  <c r="H212" i="14"/>
  <c r="G212" i="14"/>
  <c r="F212" i="14"/>
  <c r="E212" i="14"/>
  <c r="D212" i="14"/>
  <c r="C212" i="14"/>
  <c r="O263" i="14"/>
  <c r="P263" i="14"/>
  <c r="Q263" i="14"/>
  <c r="N263" i="14"/>
  <c r="K263" i="14"/>
  <c r="L263" i="14"/>
  <c r="M263" i="14"/>
  <c r="J263" i="14"/>
  <c r="G263" i="14"/>
  <c r="H263" i="14"/>
  <c r="I263" i="14"/>
  <c r="F263" i="14"/>
  <c r="E263" i="14"/>
  <c r="D263" i="14"/>
  <c r="K255" i="14"/>
  <c r="L255" i="14"/>
  <c r="M255" i="14"/>
  <c r="N255" i="14"/>
  <c r="O255" i="14"/>
  <c r="P255" i="14"/>
  <c r="Q255" i="14"/>
  <c r="J255" i="14"/>
  <c r="E255" i="14"/>
  <c r="F255" i="14"/>
  <c r="G255" i="14"/>
  <c r="H255" i="14"/>
  <c r="I255" i="14"/>
  <c r="D255" i="14"/>
  <c r="Q246" i="14"/>
  <c r="M246" i="14"/>
  <c r="N246" i="14"/>
  <c r="O246" i="14"/>
  <c r="P246" i="14"/>
  <c r="L246" i="14"/>
  <c r="G246" i="14"/>
  <c r="H246" i="14"/>
  <c r="I246" i="14"/>
  <c r="J246" i="14"/>
  <c r="K246" i="14"/>
  <c r="F246" i="14"/>
  <c r="Q244" i="14"/>
  <c r="M244" i="14"/>
  <c r="N244" i="14"/>
  <c r="O244" i="14"/>
  <c r="P244" i="14"/>
  <c r="L244" i="14"/>
  <c r="H244" i="14"/>
  <c r="I244" i="14"/>
  <c r="J244" i="14"/>
  <c r="K244" i="14"/>
  <c r="G244" i="14"/>
  <c r="E244" i="14"/>
  <c r="F244" i="14"/>
  <c r="D244" i="14"/>
  <c r="E242" i="14"/>
  <c r="F242" i="14"/>
  <c r="G242" i="14"/>
  <c r="H242" i="14"/>
  <c r="I242" i="14"/>
  <c r="J242" i="14"/>
  <c r="K242" i="14"/>
  <c r="L242" i="14"/>
  <c r="M242" i="14"/>
  <c r="N242" i="14"/>
  <c r="O242" i="14"/>
  <c r="P242" i="14"/>
  <c r="Q242" i="14"/>
  <c r="D242" i="14"/>
  <c r="D247" i="14"/>
  <c r="E247" i="14"/>
  <c r="F247" i="14"/>
  <c r="G247" i="14"/>
  <c r="H247" i="14"/>
  <c r="I247" i="14"/>
  <c r="J247" i="14"/>
  <c r="K247" i="14"/>
  <c r="L247" i="14"/>
  <c r="M247" i="14"/>
  <c r="N247" i="14"/>
  <c r="O247" i="14"/>
  <c r="P247" i="14"/>
  <c r="Q247" i="14"/>
  <c r="C247" i="14"/>
  <c r="P179" i="14"/>
  <c r="O179" i="14"/>
  <c r="N179" i="14"/>
  <c r="M179" i="14"/>
  <c r="L179" i="14"/>
  <c r="K179" i="14"/>
  <c r="J179" i="14"/>
  <c r="I179" i="14"/>
  <c r="H179" i="14"/>
  <c r="G179" i="14"/>
  <c r="F179" i="14"/>
  <c r="E179" i="14"/>
  <c r="J6" i="3"/>
  <c r="K6" i="3"/>
  <c r="J7" i="3"/>
  <c r="K7" i="3"/>
  <c r="J8" i="3"/>
  <c r="K8" i="3"/>
  <c r="J9" i="3"/>
  <c r="K9" i="3"/>
  <c r="J10" i="3"/>
  <c r="K10" i="3"/>
  <c r="J11" i="3"/>
  <c r="K11" i="3"/>
  <c r="J12" i="3"/>
  <c r="K12" i="3"/>
  <c r="J13" i="3"/>
  <c r="K13" i="3"/>
  <c r="J14" i="3"/>
  <c r="K14" i="3"/>
  <c r="J15" i="3"/>
  <c r="K15" i="3"/>
  <c r="J16" i="3"/>
  <c r="K16" i="3"/>
  <c r="J17" i="3"/>
  <c r="K17" i="3"/>
  <c r="J18" i="3"/>
  <c r="K18" i="3"/>
  <c r="J19" i="3"/>
  <c r="K19" i="3"/>
  <c r="J20" i="3"/>
  <c r="K20" i="3"/>
  <c r="J21" i="3"/>
  <c r="K21" i="3"/>
  <c r="J22" i="3"/>
  <c r="K22" i="3"/>
  <c r="J23" i="3"/>
  <c r="K23" i="3"/>
  <c r="J24" i="3"/>
  <c r="K24" i="3"/>
  <c r="J25" i="3"/>
  <c r="K25" i="3"/>
  <c r="J26" i="3"/>
  <c r="K26" i="3"/>
  <c r="J27" i="3"/>
  <c r="K27" i="3"/>
  <c r="J28" i="3"/>
  <c r="K28" i="3"/>
  <c r="J29" i="3"/>
  <c r="K29" i="3"/>
  <c r="J30" i="3"/>
  <c r="K30" i="3"/>
  <c r="J31" i="3"/>
  <c r="K31" i="3"/>
  <c r="J32" i="3"/>
  <c r="K32" i="3"/>
  <c r="J33" i="3"/>
  <c r="K33" i="3"/>
  <c r="J34" i="3"/>
  <c r="K34" i="3"/>
  <c r="J35" i="3"/>
  <c r="K35" i="3"/>
  <c r="J36" i="3"/>
  <c r="K36" i="3"/>
  <c r="J37" i="3"/>
  <c r="K37" i="3"/>
  <c r="J38" i="3"/>
  <c r="K38" i="3"/>
  <c r="J39" i="3"/>
  <c r="K39" i="3"/>
  <c r="J40" i="3"/>
  <c r="K40" i="3"/>
  <c r="J41" i="3"/>
  <c r="K41" i="3"/>
  <c r="J42" i="3"/>
  <c r="K42" i="3"/>
  <c r="J43" i="3"/>
  <c r="K43" i="3"/>
  <c r="J44" i="3"/>
  <c r="K44" i="3"/>
  <c r="J45" i="3"/>
  <c r="K45" i="3"/>
  <c r="J46" i="3"/>
  <c r="K46" i="3"/>
  <c r="Q30" i="14"/>
  <c r="Q29" i="14"/>
  <c r="Q28" i="14"/>
  <c r="I6" i="3"/>
  <c r="I7" i="3"/>
  <c r="I8" i="3"/>
  <c r="I9" i="3"/>
  <c r="I10" i="3"/>
  <c r="I11" i="3"/>
  <c r="I12" i="3"/>
  <c r="I13" i="3"/>
  <c r="I14" i="3"/>
  <c r="I15" i="3"/>
  <c r="I16" i="3"/>
  <c r="I17" i="3"/>
  <c r="I18" i="3"/>
  <c r="I19" i="3"/>
  <c r="I20" i="3"/>
  <c r="I21" i="3"/>
  <c r="I22" i="3"/>
  <c r="I23" i="3"/>
  <c r="I24" i="3"/>
  <c r="I25" i="3"/>
  <c r="I26" i="3"/>
  <c r="I27" i="3"/>
  <c r="I28" i="3"/>
  <c r="I29" i="3"/>
  <c r="I30" i="3"/>
  <c r="I31" i="3"/>
  <c r="I32" i="3"/>
  <c r="I33" i="3"/>
  <c r="I34" i="3"/>
  <c r="I35" i="3"/>
  <c r="I36" i="3"/>
  <c r="I37" i="3"/>
  <c r="I38" i="3"/>
  <c r="I39" i="3"/>
  <c r="I40" i="3"/>
  <c r="I41" i="3"/>
  <c r="I42" i="3"/>
  <c r="I43" i="3"/>
  <c r="I44" i="3"/>
  <c r="I45" i="3"/>
  <c r="I46" i="3"/>
  <c r="C91" i="12"/>
  <c r="C92" i="12"/>
  <c r="D91" i="12"/>
  <c r="D92" i="12"/>
  <c r="E91" i="12"/>
  <c r="E92" i="12"/>
  <c r="F91" i="12"/>
  <c r="F92" i="12"/>
  <c r="G91" i="12"/>
  <c r="G92" i="12"/>
  <c r="H91" i="12"/>
  <c r="H92" i="12"/>
  <c r="I91" i="12"/>
  <c r="I92" i="12"/>
  <c r="J91" i="12"/>
  <c r="J92" i="12"/>
  <c r="K91" i="12"/>
  <c r="K92" i="12"/>
  <c r="L91" i="12"/>
  <c r="L92" i="12"/>
  <c r="M91" i="12"/>
  <c r="M92" i="12"/>
  <c r="N91" i="12"/>
  <c r="N92" i="12"/>
  <c r="O91" i="12"/>
  <c r="O92" i="12"/>
  <c r="P91" i="12"/>
  <c r="P92" i="12"/>
  <c r="Q91" i="12"/>
  <c r="Q92" i="12"/>
  <c r="D90" i="12"/>
  <c r="E90" i="12"/>
  <c r="F90" i="12"/>
  <c r="G90" i="12"/>
  <c r="H90" i="12"/>
  <c r="I90" i="12"/>
  <c r="J90" i="12"/>
  <c r="K90" i="12"/>
  <c r="L90" i="12"/>
  <c r="M90" i="12"/>
  <c r="N90" i="12"/>
  <c r="O90" i="12"/>
  <c r="P90" i="12"/>
  <c r="Q90" i="12"/>
  <c r="C90" i="12"/>
  <c r="B92" i="12"/>
  <c r="B91" i="12"/>
  <c r="B90" i="12"/>
  <c r="S8" i="4"/>
  <c r="A204" i="14"/>
  <c r="A203" i="14"/>
  <c r="A202" i="14"/>
  <c r="A175" i="14"/>
  <c r="A174" i="14"/>
  <c r="A173" i="14"/>
  <c r="A117" i="14"/>
  <c r="A116" i="14"/>
  <c r="A115" i="14"/>
  <c r="A88" i="14"/>
  <c r="A87" i="14"/>
  <c r="A86" i="14"/>
  <c r="A59" i="14"/>
  <c r="A58" i="14"/>
  <c r="A57" i="14"/>
  <c r="A30" i="14"/>
  <c r="A29" i="14"/>
  <c r="A28" i="14"/>
  <c r="D196" i="11"/>
  <c r="E196" i="11"/>
  <c r="F196" i="11"/>
  <c r="G196" i="11"/>
  <c r="D197" i="11"/>
  <c r="E197" i="11"/>
  <c r="F197" i="11"/>
  <c r="G197" i="11"/>
  <c r="D198" i="11"/>
  <c r="E198" i="11"/>
  <c r="F198" i="11"/>
  <c r="G198" i="11"/>
  <c r="D199" i="11"/>
  <c r="E199" i="11"/>
  <c r="F199" i="11"/>
  <c r="G199" i="11"/>
  <c r="D200" i="11"/>
  <c r="E200" i="11"/>
  <c r="F200" i="11"/>
  <c r="G200" i="11"/>
  <c r="D201" i="11"/>
  <c r="E201" i="11"/>
  <c r="F201" i="11"/>
  <c r="G201" i="11"/>
  <c r="D202" i="11"/>
  <c r="E202" i="11"/>
  <c r="F202" i="11"/>
  <c r="G202" i="11"/>
  <c r="D203" i="11"/>
  <c r="E203" i="11"/>
  <c r="F203" i="11"/>
  <c r="G203" i="11"/>
  <c r="D204" i="11"/>
  <c r="E204" i="11"/>
  <c r="F204" i="11"/>
  <c r="G204" i="11"/>
  <c r="D205" i="11"/>
  <c r="E205" i="11"/>
  <c r="F205" i="11"/>
  <c r="G205" i="11"/>
  <c r="D206" i="11"/>
  <c r="E206" i="11"/>
  <c r="F206" i="11"/>
  <c r="G206" i="11"/>
  <c r="D207" i="11"/>
  <c r="E207" i="11"/>
  <c r="F207" i="11"/>
  <c r="G207" i="11"/>
  <c r="D208" i="11"/>
  <c r="E208" i="11"/>
  <c r="F208" i="11"/>
  <c r="G208" i="11"/>
  <c r="D209" i="11"/>
  <c r="E209" i="11"/>
  <c r="F209" i="11"/>
  <c r="G209" i="11"/>
  <c r="E195" i="11"/>
  <c r="F195" i="11"/>
  <c r="G195" i="11"/>
  <c r="D195" i="11"/>
  <c r="B195" i="11"/>
  <c r="B196" i="11"/>
  <c r="B197" i="11"/>
  <c r="B198" i="11"/>
  <c r="B199" i="11"/>
  <c r="B200" i="11"/>
  <c r="B201" i="11"/>
  <c r="B202" i="11"/>
  <c r="B203" i="11"/>
  <c r="B204" i="11"/>
  <c r="B205" i="11"/>
  <c r="B206" i="11"/>
  <c r="B207" i="11"/>
  <c r="B208" i="11"/>
  <c r="B209" i="11"/>
  <c r="B180" i="11"/>
  <c r="B212" i="11" s="1"/>
  <c r="B179" i="11"/>
  <c r="B211" i="11" s="1"/>
  <c r="B178" i="11"/>
  <c r="B210" i="11" s="1"/>
  <c r="S11" i="4"/>
  <c r="S15" i="4"/>
  <c r="S19" i="4"/>
  <c r="S14" i="4"/>
  <c r="S10" i="4"/>
  <c r="S6" i="4"/>
  <c r="S18" i="4"/>
  <c r="S17" i="4"/>
  <c r="S13" i="4"/>
  <c r="S9" i="4"/>
  <c r="S7" i="4"/>
  <c r="S16" i="4"/>
  <c r="S12" i="4"/>
  <c r="U27" i="9"/>
  <c r="Q45" i="1"/>
  <c r="E22" i="14"/>
  <c r="F22" i="14"/>
  <c r="K22" i="14"/>
  <c r="M5" i="14"/>
  <c r="P5" i="14"/>
  <c r="J5" i="14"/>
  <c r="E5" i="14"/>
  <c r="C22" i="14"/>
  <c r="H5" i="14"/>
  <c r="K5" i="14"/>
  <c r="O5" i="14"/>
  <c r="C5" i="14"/>
  <c r="N22" i="14"/>
  <c r="U28" i="9"/>
  <c r="D22" i="14"/>
  <c r="P22" i="14"/>
  <c r="I5" i="14"/>
  <c r="M22" i="14"/>
  <c r="F5" i="14"/>
  <c r="U29" i="9"/>
  <c r="R28" i="9"/>
  <c r="B22" i="14"/>
  <c r="H22" i="14"/>
  <c r="I22" i="14"/>
  <c r="L22" i="14"/>
  <c r="O22" i="14"/>
  <c r="N5" i="14"/>
  <c r="G5" i="14"/>
  <c r="R29" i="9"/>
  <c r="D5" i="14"/>
  <c r="G22" i="14"/>
  <c r="J22" i="14"/>
  <c r="L5" i="14"/>
  <c r="K6" i="11"/>
  <c r="B6" i="11" s="1"/>
  <c r="K2" i="3" s="1"/>
  <c r="U26" i="9"/>
  <c r="R26" i="9"/>
  <c r="R27" i="9"/>
  <c r="I27" i="9"/>
  <c r="N26" i="9"/>
  <c r="I26" i="9"/>
  <c r="N27" i="9"/>
  <c r="A123" i="10"/>
  <c r="A122" i="10"/>
  <c r="A121" i="10"/>
  <c r="A120" i="10"/>
  <c r="A119" i="10"/>
  <c r="A118" i="10"/>
  <c r="A117" i="10"/>
  <c r="A116" i="10"/>
  <c r="A115" i="10"/>
  <c r="A114" i="10"/>
  <c r="A113" i="10"/>
  <c r="A112" i="10"/>
  <c r="A111" i="10"/>
  <c r="A110" i="10"/>
  <c r="A109" i="10"/>
  <c r="B125" i="10"/>
  <c r="C125" i="10"/>
  <c r="D125" i="10"/>
  <c r="E125" i="10"/>
  <c r="F125" i="10"/>
  <c r="G125" i="10"/>
  <c r="H125" i="10"/>
  <c r="I125" i="10"/>
  <c r="J125" i="10"/>
  <c r="K125" i="10"/>
  <c r="L125" i="10"/>
  <c r="B126" i="10"/>
  <c r="C126" i="10"/>
  <c r="D126" i="10"/>
  <c r="E126" i="10"/>
  <c r="F126" i="10"/>
  <c r="G126" i="10"/>
  <c r="H126" i="10"/>
  <c r="I126" i="10"/>
  <c r="J126" i="10"/>
  <c r="K126" i="10"/>
  <c r="L126" i="10"/>
  <c r="B127" i="10"/>
  <c r="C127" i="10"/>
  <c r="D127" i="10"/>
  <c r="E127" i="10"/>
  <c r="F127" i="10"/>
  <c r="G127" i="10"/>
  <c r="H127" i="10"/>
  <c r="I127" i="10"/>
  <c r="J127" i="10"/>
  <c r="K127" i="10"/>
  <c r="L127" i="10"/>
  <c r="B128" i="10"/>
  <c r="C128" i="10"/>
  <c r="D128" i="10"/>
  <c r="E128" i="10"/>
  <c r="F128" i="10"/>
  <c r="G128" i="10"/>
  <c r="H128" i="10"/>
  <c r="I128" i="10"/>
  <c r="J128" i="10"/>
  <c r="K128" i="10"/>
  <c r="L128" i="10"/>
  <c r="B129" i="10"/>
  <c r="C129" i="10"/>
  <c r="D129" i="10"/>
  <c r="E129" i="10"/>
  <c r="F129" i="10"/>
  <c r="G129" i="10"/>
  <c r="H129" i="10"/>
  <c r="I129" i="10"/>
  <c r="J129" i="10"/>
  <c r="K129" i="10"/>
  <c r="L129" i="10"/>
  <c r="B130" i="10"/>
  <c r="C130" i="10"/>
  <c r="D130" i="10"/>
  <c r="E130" i="10"/>
  <c r="F130" i="10"/>
  <c r="G130" i="10"/>
  <c r="H130" i="10"/>
  <c r="I130" i="10"/>
  <c r="J130" i="10"/>
  <c r="K130" i="10"/>
  <c r="L130" i="10"/>
  <c r="B131" i="10"/>
  <c r="C131" i="10"/>
  <c r="D131" i="10"/>
  <c r="E131" i="10"/>
  <c r="F131" i="10"/>
  <c r="G131" i="10"/>
  <c r="H131" i="10"/>
  <c r="I131" i="10"/>
  <c r="J131" i="10"/>
  <c r="K131" i="10"/>
  <c r="L131" i="10"/>
  <c r="B132" i="10"/>
  <c r="C132" i="10"/>
  <c r="D132" i="10"/>
  <c r="E132" i="10"/>
  <c r="F132" i="10"/>
  <c r="G132" i="10"/>
  <c r="H132" i="10"/>
  <c r="I132" i="10"/>
  <c r="J132" i="10"/>
  <c r="K132" i="10"/>
  <c r="L132" i="10"/>
  <c r="B133" i="10"/>
  <c r="C133" i="10"/>
  <c r="D133" i="10"/>
  <c r="E133" i="10"/>
  <c r="F133" i="10"/>
  <c r="G133" i="10"/>
  <c r="H133" i="10"/>
  <c r="I133" i="10"/>
  <c r="J133" i="10"/>
  <c r="K133" i="10"/>
  <c r="L133" i="10"/>
  <c r="B134" i="10"/>
  <c r="C134" i="10"/>
  <c r="D134" i="10"/>
  <c r="E134" i="10"/>
  <c r="F134" i="10"/>
  <c r="G134" i="10"/>
  <c r="H134" i="10"/>
  <c r="I134" i="10"/>
  <c r="J134" i="10"/>
  <c r="K134" i="10"/>
  <c r="L134" i="10"/>
  <c r="B135" i="10"/>
  <c r="C135" i="10"/>
  <c r="D135" i="10"/>
  <c r="E135" i="10"/>
  <c r="F135" i="10"/>
  <c r="G135" i="10"/>
  <c r="H135" i="10"/>
  <c r="I135" i="10"/>
  <c r="J135" i="10"/>
  <c r="K135" i="10"/>
  <c r="L135" i="10"/>
  <c r="B136" i="10"/>
  <c r="C136" i="10"/>
  <c r="D136" i="10"/>
  <c r="E136" i="10"/>
  <c r="F136" i="10"/>
  <c r="G136" i="10"/>
  <c r="H136" i="10"/>
  <c r="I136" i="10"/>
  <c r="J136" i="10"/>
  <c r="K136" i="10"/>
  <c r="L136" i="10"/>
  <c r="B137" i="10"/>
  <c r="C137" i="10"/>
  <c r="D137" i="10"/>
  <c r="E137" i="10"/>
  <c r="F137" i="10"/>
  <c r="G137" i="10"/>
  <c r="H137" i="10"/>
  <c r="I137" i="10"/>
  <c r="J137" i="10"/>
  <c r="K137" i="10"/>
  <c r="L137" i="10"/>
  <c r="B138" i="10"/>
  <c r="C138" i="10"/>
  <c r="D138" i="10"/>
  <c r="E138" i="10"/>
  <c r="F138" i="10"/>
  <c r="G138" i="10"/>
  <c r="H138" i="10"/>
  <c r="I138" i="10"/>
  <c r="J138" i="10"/>
  <c r="K138" i="10"/>
  <c r="L138" i="10"/>
  <c r="C124" i="10"/>
  <c r="D124" i="10"/>
  <c r="E124" i="10"/>
  <c r="F124" i="10"/>
  <c r="G124" i="10"/>
  <c r="H124" i="10"/>
  <c r="I124" i="10"/>
  <c r="J124" i="10"/>
  <c r="K124" i="10"/>
  <c r="L124" i="10"/>
  <c r="B124" i="10"/>
  <c r="A138" i="10"/>
  <c r="A137" i="10"/>
  <c r="A136" i="10"/>
  <c r="A135" i="10"/>
  <c r="A134" i="10"/>
  <c r="A133" i="10"/>
  <c r="A132" i="10"/>
  <c r="A131" i="10"/>
  <c r="A130" i="10"/>
  <c r="A129" i="10"/>
  <c r="A128" i="10"/>
  <c r="A127" i="10"/>
  <c r="A126" i="10"/>
  <c r="A125" i="10"/>
  <c r="A124" i="10"/>
  <c r="A108" i="10"/>
  <c r="A107" i="10"/>
  <c r="A106" i="10"/>
  <c r="A105" i="10"/>
  <c r="A104" i="10"/>
  <c r="A103" i="10"/>
  <c r="A102" i="10"/>
  <c r="A101" i="10"/>
  <c r="A100" i="10"/>
  <c r="A99" i="10"/>
  <c r="A98" i="10"/>
  <c r="A97" i="10"/>
  <c r="A96" i="10"/>
  <c r="A95" i="10"/>
  <c r="A94" i="10"/>
  <c r="A93" i="10"/>
  <c r="A92" i="10"/>
  <c r="A91" i="10"/>
  <c r="A90" i="10"/>
  <c r="A89" i="10"/>
  <c r="A88" i="10"/>
  <c r="A87" i="10"/>
  <c r="A86" i="10"/>
  <c r="A85" i="10"/>
  <c r="A84" i="10"/>
  <c r="A83" i="10"/>
  <c r="A82" i="10"/>
  <c r="A81" i="10"/>
  <c r="A80" i="10"/>
  <c r="A79" i="10"/>
  <c r="I1" i="10"/>
  <c r="H25" i="4"/>
  <c r="K148" i="11"/>
  <c r="B148" i="11" s="1"/>
  <c r="K69" i="11"/>
  <c r="B69" i="11" s="1"/>
  <c r="K149" i="11"/>
  <c r="B149" i="11" s="1"/>
  <c r="I26" i="11"/>
  <c r="I129" i="11"/>
  <c r="I131" i="11"/>
  <c r="I120" i="11"/>
  <c r="I184" i="11"/>
  <c r="I3" i="11"/>
  <c r="I7" i="11"/>
  <c r="I149" i="11"/>
  <c r="I154" i="11"/>
  <c r="I153" i="11"/>
  <c r="I151" i="11"/>
  <c r="I117" i="11"/>
  <c r="I192" i="11"/>
  <c r="I191" i="11"/>
  <c r="I13" i="11"/>
  <c r="I16" i="11"/>
  <c r="I20" i="11"/>
  <c r="I105" i="11"/>
  <c r="I187" i="11"/>
  <c r="I194" i="11"/>
  <c r="I193" i="11"/>
  <c r="I140" i="11"/>
  <c r="I181" i="11"/>
  <c r="I182" i="11"/>
  <c r="K163" i="11"/>
  <c r="B163" i="11" s="1"/>
  <c r="K143" i="11"/>
  <c r="B143" i="11" s="1"/>
  <c r="K142" i="11"/>
  <c r="B142" i="11" s="1"/>
  <c r="K89" i="11"/>
  <c r="B89" i="11" s="1"/>
  <c r="K88" i="11"/>
  <c r="B88" i="11" s="1"/>
  <c r="K141" i="11"/>
  <c r="B141" i="11" s="1"/>
  <c r="F9" i="3"/>
  <c r="O9" i="3" s="1"/>
  <c r="G9" i="3"/>
  <c r="P9" i="3" s="1"/>
  <c r="H9" i="3"/>
  <c r="Q9" i="3" s="1"/>
  <c r="F10" i="3"/>
  <c r="O10" i="3" s="1"/>
  <c r="G10" i="3"/>
  <c r="P10" i="3" s="1"/>
  <c r="H10" i="3"/>
  <c r="Q10" i="3" s="1"/>
  <c r="F11" i="3"/>
  <c r="O11" i="3" s="1"/>
  <c r="G11" i="3"/>
  <c r="P11" i="3" s="1"/>
  <c r="H11" i="3"/>
  <c r="Q11" i="3" s="1"/>
  <c r="F12" i="3"/>
  <c r="O12" i="3" s="1"/>
  <c r="G12" i="3"/>
  <c r="P12" i="3" s="1"/>
  <c r="H12" i="3"/>
  <c r="Q12" i="3" s="1"/>
  <c r="F13" i="3"/>
  <c r="O13" i="3" s="1"/>
  <c r="G13" i="3"/>
  <c r="P13" i="3" s="1"/>
  <c r="H13" i="3"/>
  <c r="Q13" i="3" s="1"/>
  <c r="F14" i="3"/>
  <c r="O14" i="3" s="1"/>
  <c r="G14" i="3"/>
  <c r="P14" i="3" s="1"/>
  <c r="H14" i="3"/>
  <c r="Q14" i="3" s="1"/>
  <c r="F15" i="3"/>
  <c r="O15" i="3" s="1"/>
  <c r="G15" i="3"/>
  <c r="P15" i="3" s="1"/>
  <c r="H15" i="3"/>
  <c r="Q15" i="3" s="1"/>
  <c r="F16" i="3"/>
  <c r="O16" i="3" s="1"/>
  <c r="G16" i="3"/>
  <c r="P16" i="3" s="1"/>
  <c r="H16" i="3"/>
  <c r="Q16" i="3" s="1"/>
  <c r="F17" i="3"/>
  <c r="O17" i="3" s="1"/>
  <c r="G17" i="3"/>
  <c r="P17" i="3" s="1"/>
  <c r="H17" i="3"/>
  <c r="Q17" i="3" s="1"/>
  <c r="F18" i="3"/>
  <c r="O18" i="3" s="1"/>
  <c r="G18" i="3"/>
  <c r="P18" i="3" s="1"/>
  <c r="H18" i="3"/>
  <c r="Q18" i="3" s="1"/>
  <c r="F19" i="3"/>
  <c r="O19" i="3" s="1"/>
  <c r="G19" i="3"/>
  <c r="P19" i="3" s="1"/>
  <c r="H19" i="3"/>
  <c r="Q19" i="3" s="1"/>
  <c r="F20" i="3"/>
  <c r="O20" i="3" s="1"/>
  <c r="G20" i="3"/>
  <c r="P20" i="3" s="1"/>
  <c r="H20" i="3"/>
  <c r="Q20" i="3" s="1"/>
  <c r="F21" i="3"/>
  <c r="O21" i="3" s="1"/>
  <c r="G21" i="3"/>
  <c r="P21" i="3" s="1"/>
  <c r="H21" i="3"/>
  <c r="Q21" i="3" s="1"/>
  <c r="F22" i="3"/>
  <c r="O22" i="3" s="1"/>
  <c r="G22" i="3"/>
  <c r="P22" i="3" s="1"/>
  <c r="H22" i="3"/>
  <c r="Q22" i="3" s="1"/>
  <c r="F23" i="3"/>
  <c r="O23" i="3" s="1"/>
  <c r="G23" i="3"/>
  <c r="P23" i="3" s="1"/>
  <c r="H23" i="3"/>
  <c r="Q23" i="3" s="1"/>
  <c r="F24" i="3"/>
  <c r="O24" i="3" s="1"/>
  <c r="G24" i="3"/>
  <c r="P24" i="3" s="1"/>
  <c r="H24" i="3"/>
  <c r="Q24" i="3" s="1"/>
  <c r="F25" i="3"/>
  <c r="O25" i="3" s="1"/>
  <c r="G25" i="3"/>
  <c r="P25" i="3" s="1"/>
  <c r="H25" i="3"/>
  <c r="Q25" i="3" s="1"/>
  <c r="F26" i="3"/>
  <c r="O26" i="3" s="1"/>
  <c r="G26" i="3"/>
  <c r="P26" i="3" s="1"/>
  <c r="H26" i="3"/>
  <c r="Q26" i="3" s="1"/>
  <c r="F27" i="3"/>
  <c r="O27" i="3" s="1"/>
  <c r="G27" i="3"/>
  <c r="P27" i="3" s="1"/>
  <c r="H27" i="3"/>
  <c r="Q27" i="3" s="1"/>
  <c r="F28" i="3"/>
  <c r="O28" i="3" s="1"/>
  <c r="G28" i="3"/>
  <c r="P28" i="3" s="1"/>
  <c r="H28" i="3"/>
  <c r="Q28" i="3" s="1"/>
  <c r="F29" i="3"/>
  <c r="O29" i="3" s="1"/>
  <c r="G29" i="3"/>
  <c r="P29" i="3" s="1"/>
  <c r="H29" i="3"/>
  <c r="Q29" i="3" s="1"/>
  <c r="F30" i="3"/>
  <c r="O30" i="3" s="1"/>
  <c r="G30" i="3"/>
  <c r="P30" i="3" s="1"/>
  <c r="H30" i="3"/>
  <c r="Q30" i="3" s="1"/>
  <c r="F31" i="3"/>
  <c r="O31" i="3" s="1"/>
  <c r="G31" i="3"/>
  <c r="P31" i="3" s="1"/>
  <c r="H31" i="3"/>
  <c r="Q31" i="3" s="1"/>
  <c r="F32" i="3"/>
  <c r="O32" i="3" s="1"/>
  <c r="G32" i="3"/>
  <c r="P32" i="3" s="1"/>
  <c r="H32" i="3"/>
  <c r="Q32" i="3" s="1"/>
  <c r="F33" i="3"/>
  <c r="O33" i="3" s="1"/>
  <c r="G33" i="3"/>
  <c r="P33" i="3" s="1"/>
  <c r="H33" i="3"/>
  <c r="Q33" i="3" s="1"/>
  <c r="F34" i="3"/>
  <c r="O34" i="3" s="1"/>
  <c r="G34" i="3"/>
  <c r="P34" i="3" s="1"/>
  <c r="H34" i="3"/>
  <c r="Q34" i="3" s="1"/>
  <c r="F35" i="3"/>
  <c r="O35" i="3" s="1"/>
  <c r="G35" i="3"/>
  <c r="P35" i="3" s="1"/>
  <c r="H35" i="3"/>
  <c r="Q35" i="3" s="1"/>
  <c r="F36" i="3"/>
  <c r="O36" i="3" s="1"/>
  <c r="G36" i="3"/>
  <c r="P36" i="3" s="1"/>
  <c r="H36" i="3"/>
  <c r="Q36" i="3" s="1"/>
  <c r="F37" i="3"/>
  <c r="O37" i="3" s="1"/>
  <c r="G37" i="3"/>
  <c r="P37" i="3" s="1"/>
  <c r="H37" i="3"/>
  <c r="Q37" i="3" s="1"/>
  <c r="F38" i="3"/>
  <c r="O38" i="3" s="1"/>
  <c r="G38" i="3"/>
  <c r="P38" i="3" s="1"/>
  <c r="H38" i="3"/>
  <c r="Q38" i="3" s="1"/>
  <c r="F39" i="3"/>
  <c r="O39" i="3" s="1"/>
  <c r="G39" i="3"/>
  <c r="P39" i="3" s="1"/>
  <c r="H39" i="3"/>
  <c r="Q39" i="3" s="1"/>
  <c r="F40" i="3"/>
  <c r="O40" i="3" s="1"/>
  <c r="G40" i="3"/>
  <c r="P40" i="3" s="1"/>
  <c r="H40" i="3"/>
  <c r="Q40" i="3" s="1"/>
  <c r="F41" i="3"/>
  <c r="O41" i="3" s="1"/>
  <c r="G41" i="3"/>
  <c r="P41" i="3" s="1"/>
  <c r="H41" i="3"/>
  <c r="Q41" i="3" s="1"/>
  <c r="F42" i="3"/>
  <c r="O42" i="3" s="1"/>
  <c r="G42" i="3"/>
  <c r="P42" i="3" s="1"/>
  <c r="H42" i="3"/>
  <c r="Q42" i="3" s="1"/>
  <c r="F43" i="3"/>
  <c r="O43" i="3" s="1"/>
  <c r="G43" i="3"/>
  <c r="P43" i="3" s="1"/>
  <c r="H43" i="3"/>
  <c r="Q43" i="3" s="1"/>
  <c r="F44" i="3"/>
  <c r="O44" i="3" s="1"/>
  <c r="G44" i="3"/>
  <c r="P44" i="3" s="1"/>
  <c r="H44" i="3"/>
  <c r="Q44" i="3" s="1"/>
  <c r="F45" i="3"/>
  <c r="O45" i="3" s="1"/>
  <c r="G45" i="3"/>
  <c r="P45" i="3" s="1"/>
  <c r="H45" i="3"/>
  <c r="Q45" i="3" s="1"/>
  <c r="F46" i="3"/>
  <c r="O46" i="3" s="1"/>
  <c r="G46" i="3"/>
  <c r="P46" i="3" s="1"/>
  <c r="H46" i="3"/>
  <c r="Q46" i="3" s="1"/>
  <c r="I70" i="11"/>
  <c r="I57" i="11"/>
  <c r="I67" i="11"/>
  <c r="I15" i="11"/>
  <c r="I100" i="11"/>
  <c r="I112" i="11"/>
  <c r="I115" i="11"/>
  <c r="I19" i="11"/>
  <c r="I29" i="11"/>
  <c r="I111" i="11"/>
  <c r="I21" i="11"/>
  <c r="I23" i="11"/>
  <c r="I75" i="11"/>
  <c r="I190" i="11"/>
  <c r="I27" i="11"/>
  <c r="I25" i="11"/>
  <c r="I17" i="11"/>
  <c r="K14" i="11"/>
  <c r="B14" i="11" s="1"/>
  <c r="I108" i="11"/>
  <c r="K98" i="11"/>
  <c r="B98" i="11" s="1"/>
  <c r="K71" i="11"/>
  <c r="B71" i="11" s="1"/>
  <c r="I2" i="3" s="1"/>
  <c r="F6" i="1"/>
  <c r="F7" i="1"/>
  <c r="J5" i="3"/>
  <c r="K5" i="3"/>
  <c r="I5" i="3"/>
  <c r="J4" i="3"/>
  <c r="K4" i="3"/>
  <c r="I4" i="3"/>
  <c r="K3" i="3"/>
  <c r="I3" i="3"/>
  <c r="H8" i="3"/>
  <c r="Q8" i="3" s="1"/>
  <c r="F8" i="3"/>
  <c r="O8" i="3" s="1"/>
  <c r="G8" i="3"/>
  <c r="P8" i="3" s="1"/>
  <c r="H7" i="3"/>
  <c r="Q7" i="3" s="1"/>
  <c r="F7" i="3"/>
  <c r="O7" i="3" s="1"/>
  <c r="G7" i="3"/>
  <c r="P7" i="3" s="1"/>
  <c r="F6" i="3"/>
  <c r="O6" i="3" s="1"/>
  <c r="G6" i="3"/>
  <c r="P6" i="3" s="1"/>
  <c r="H6" i="3"/>
  <c r="Q6" i="3" s="1"/>
  <c r="G2" i="3"/>
  <c r="P2" i="3" s="1"/>
  <c r="F3" i="3"/>
  <c r="O3" i="3" s="1"/>
  <c r="G4" i="3"/>
  <c r="P4" i="3" s="1"/>
  <c r="H5" i="3"/>
  <c r="Q5" i="3" s="1"/>
  <c r="G3" i="3"/>
  <c r="P3" i="3" s="1"/>
  <c r="H4" i="3"/>
  <c r="Q4" i="3" s="1"/>
  <c r="H3" i="3"/>
  <c r="Q3" i="3" s="1"/>
  <c r="F5" i="3"/>
  <c r="O5" i="3" s="1"/>
  <c r="F4" i="3"/>
  <c r="O4" i="3" s="1"/>
  <c r="G5" i="3"/>
  <c r="P5" i="3" s="1"/>
  <c r="M24" i="1"/>
  <c r="M25" i="1"/>
  <c r="M26" i="1"/>
  <c r="M27" i="1"/>
  <c r="M28" i="1"/>
  <c r="M29" i="1"/>
  <c r="M30" i="1"/>
  <c r="M31" i="1"/>
  <c r="M32" i="1"/>
  <c r="M33" i="1"/>
  <c r="M34" i="1"/>
  <c r="M35" i="1"/>
  <c r="M36" i="1"/>
  <c r="M37" i="1"/>
  <c r="M23" i="1"/>
  <c r="G24" i="1"/>
  <c r="G25" i="1"/>
  <c r="G26" i="1"/>
  <c r="G27" i="1"/>
  <c r="G28" i="1"/>
  <c r="G29" i="1"/>
  <c r="G30" i="1"/>
  <c r="G31" i="1"/>
  <c r="G32" i="1"/>
  <c r="G33" i="1"/>
  <c r="G34" i="1"/>
  <c r="G35" i="1"/>
  <c r="G36" i="1"/>
  <c r="G37" i="1"/>
  <c r="G23" i="1"/>
  <c r="A24" i="1"/>
  <c r="A25" i="1"/>
  <c r="A26" i="1"/>
  <c r="A27" i="1"/>
  <c r="A28" i="1"/>
  <c r="A29" i="1"/>
  <c r="A30" i="1"/>
  <c r="A31" i="1"/>
  <c r="A32" i="1"/>
  <c r="A33" i="1"/>
  <c r="A34" i="1"/>
  <c r="A35" i="1"/>
  <c r="A36" i="1"/>
  <c r="A37" i="1"/>
  <c r="A23" i="1"/>
  <c r="H8" i="9"/>
  <c r="E8" i="9"/>
  <c r="J5" i="1"/>
  <c r="E10" i="9"/>
  <c r="D45" i="1"/>
  <c r="O51" i="10"/>
  <c r="O50" i="10"/>
  <c r="O49" i="10"/>
  <c r="E52" i="1" s="1"/>
  <c r="H40" i="4"/>
  <c r="H23" i="9"/>
  <c r="G2" i="4"/>
  <c r="C38" i="4" s="1"/>
  <c r="H38" i="4" s="1"/>
  <c r="G7" i="4"/>
  <c r="G3" i="4"/>
  <c r="C39" i="4" s="1"/>
  <c r="H39" i="4" s="1"/>
  <c r="Q40" i="24" s="1"/>
  <c r="K3" i="4"/>
  <c r="C31" i="4" s="1"/>
  <c r="H31" i="4" s="1"/>
  <c r="E42" i="24" s="1"/>
  <c r="H37" i="4"/>
  <c r="N40" i="1" s="1"/>
  <c r="H15" i="9"/>
  <c r="H36" i="4"/>
  <c r="H14" i="9"/>
  <c r="G5" i="4"/>
  <c r="K5" i="4" s="1"/>
  <c r="C24" i="4" s="1"/>
  <c r="G6" i="4"/>
  <c r="K6" i="4" s="1"/>
  <c r="C20" i="4" s="1"/>
  <c r="S51" i="10"/>
  <c r="S50" i="10"/>
  <c r="S49" i="10"/>
  <c r="R51" i="10"/>
  <c r="R50" i="10"/>
  <c r="R49" i="10"/>
  <c r="Q51" i="10"/>
  <c r="Q50" i="10"/>
  <c r="Q49" i="10"/>
  <c r="P51" i="10"/>
  <c r="P50" i="10"/>
  <c r="P49" i="10"/>
  <c r="Y37" i="10"/>
  <c r="Y36" i="10"/>
  <c r="Y35" i="10"/>
  <c r="Y34" i="10"/>
  <c r="Y33" i="10"/>
  <c r="Y32" i="10"/>
  <c r="Y31" i="10"/>
  <c r="Y30" i="10"/>
  <c r="Y29" i="10"/>
  <c r="R21" i="9"/>
  <c r="R22" i="9"/>
  <c r="A78" i="10"/>
  <c r="A77" i="10"/>
  <c r="A76" i="10"/>
  <c r="A75" i="10"/>
  <c r="A74" i="10"/>
  <c r="A73" i="10"/>
  <c r="A72" i="10"/>
  <c r="A71" i="10"/>
  <c r="A70" i="10"/>
  <c r="A69" i="10"/>
  <c r="A68" i="10"/>
  <c r="A67" i="10"/>
  <c r="A66" i="10"/>
  <c r="A65" i="10"/>
  <c r="A64" i="10"/>
  <c r="A63" i="10"/>
  <c r="A62" i="10"/>
  <c r="A61" i="10"/>
  <c r="A60" i="10"/>
  <c r="A59" i="10"/>
  <c r="A58" i="10"/>
  <c r="A57" i="10"/>
  <c r="A56" i="10"/>
  <c r="A55" i="10"/>
  <c r="A54" i="10"/>
  <c r="A53" i="10"/>
  <c r="A52" i="10"/>
  <c r="A51" i="10"/>
  <c r="A50" i="10"/>
  <c r="A49" i="10"/>
  <c r="A48" i="10"/>
  <c r="A47" i="10"/>
  <c r="A46" i="10"/>
  <c r="A45" i="10"/>
  <c r="A44" i="10"/>
  <c r="A43" i="10"/>
  <c r="A42" i="10"/>
  <c r="A41" i="10"/>
  <c r="A40" i="10"/>
  <c r="A39" i="10"/>
  <c r="A38" i="10"/>
  <c r="A37" i="10"/>
  <c r="A36" i="10"/>
  <c r="A35" i="10"/>
  <c r="A34" i="10"/>
  <c r="A33" i="10"/>
  <c r="A32" i="10"/>
  <c r="A31" i="10"/>
  <c r="A30" i="10"/>
  <c r="A29" i="10"/>
  <c r="A28" i="10"/>
  <c r="A27" i="10"/>
  <c r="A26" i="10"/>
  <c r="A25" i="10"/>
  <c r="A24" i="10"/>
  <c r="A23" i="10"/>
  <c r="A22" i="10"/>
  <c r="A21" i="10"/>
  <c r="A20" i="10"/>
  <c r="A19" i="10"/>
  <c r="A18" i="10"/>
  <c r="A17" i="10"/>
  <c r="A16" i="10"/>
  <c r="A15" i="10"/>
  <c r="A14" i="10"/>
  <c r="A13" i="10"/>
  <c r="A12" i="10"/>
  <c r="A11" i="10"/>
  <c r="A10" i="10"/>
  <c r="A9" i="10"/>
  <c r="A8" i="10"/>
  <c r="A7" i="10"/>
  <c r="A6" i="10"/>
  <c r="A5" i="10"/>
  <c r="A4" i="10"/>
  <c r="E4" i="9"/>
  <c r="E6" i="9" s="1"/>
  <c r="H6" i="9" s="1"/>
  <c r="H6" i="22" s="1"/>
  <c r="T31" i="4"/>
  <c r="K4" i="21" s="1"/>
  <c r="T27" i="4"/>
  <c r="B4" i="6"/>
  <c r="H4" i="6" s="1"/>
  <c r="Q106" i="1"/>
  <c r="P106" i="1"/>
  <c r="M106" i="1"/>
  <c r="J40" i="1"/>
  <c r="G4" i="4"/>
  <c r="H107" i="11" s="1"/>
  <c r="G8" i="4"/>
  <c r="H29" i="11" s="1"/>
  <c r="G9" i="4"/>
  <c r="B11" i="1" s="1"/>
  <c r="B4" i="1"/>
  <c r="J3" i="3"/>
  <c r="H111" i="11"/>
  <c r="H100" i="11"/>
  <c r="H106" i="11"/>
  <c r="F16" i="1"/>
  <c r="F15" i="1" s="1"/>
  <c r="N45" i="1"/>
  <c r="B8" i="1"/>
  <c r="Q42" i="1"/>
  <c r="B5" i="1"/>
  <c r="I3" i="4"/>
  <c r="C30" i="4" s="1"/>
  <c r="H30" i="4" s="1"/>
  <c r="H52" i="1"/>
  <c r="R14" i="9"/>
  <c r="T12" i="9"/>
  <c r="R17" i="9"/>
  <c r="R10" i="9"/>
  <c r="T17" i="9"/>
  <c r="T15" i="9"/>
  <c r="R11" i="9"/>
  <c r="T14" i="9"/>
  <c r="T13" i="9"/>
  <c r="R8" i="9"/>
  <c r="T16" i="9"/>
  <c r="R12" i="9"/>
  <c r="R23" i="9"/>
  <c r="R7" i="9"/>
  <c r="T8" i="9"/>
  <c r="R20" i="9"/>
  <c r="T9" i="9"/>
  <c r="T10" i="9"/>
  <c r="R19" i="9"/>
  <c r="R13" i="9"/>
  <c r="R15" i="9"/>
  <c r="T11" i="9"/>
  <c r="T7" i="9"/>
  <c r="R18" i="9"/>
  <c r="R16" i="9"/>
  <c r="R9" i="9"/>
  <c r="T18" i="9"/>
  <c r="Q51" i="24" l="1"/>
  <c r="P51" i="24"/>
  <c r="F25" i="24"/>
  <c r="F29" i="24"/>
  <c r="Q37" i="24"/>
  <c r="Q33" i="24"/>
  <c r="Q29" i="24"/>
  <c r="Q25" i="24"/>
  <c r="L36" i="24"/>
  <c r="L32" i="24"/>
  <c r="L28" i="24"/>
  <c r="L24" i="24"/>
  <c r="F31" i="24"/>
  <c r="H22" i="22"/>
  <c r="Q41" i="24"/>
  <c r="F24" i="24"/>
  <c r="F35" i="24"/>
  <c r="F26" i="24"/>
  <c r="F28" i="24"/>
  <c r="Q34" i="24"/>
  <c r="Q30" i="24"/>
  <c r="Q26" i="24"/>
  <c r="L37" i="24"/>
  <c r="L33" i="24"/>
  <c r="L29" i="24"/>
  <c r="L25" i="24"/>
  <c r="F36" i="24"/>
  <c r="F32" i="24"/>
  <c r="F27" i="24"/>
  <c r="Q36" i="24"/>
  <c r="Q32" i="24"/>
  <c r="Q28" i="24"/>
  <c r="Q24" i="24"/>
  <c r="L35" i="24"/>
  <c r="L31" i="24"/>
  <c r="L27" i="24"/>
  <c r="L23" i="24"/>
  <c r="F34" i="24"/>
  <c r="F30" i="24"/>
  <c r="H16" i="22"/>
  <c r="E41" i="24"/>
  <c r="Q35" i="24"/>
  <c r="Q31" i="24"/>
  <c r="Q27" i="24"/>
  <c r="Q23" i="24"/>
  <c r="L34" i="24"/>
  <c r="L30" i="24"/>
  <c r="L26" i="24"/>
  <c r="F37" i="24"/>
  <c r="F33" i="24"/>
  <c r="K7" i="4"/>
  <c r="C18" i="4"/>
  <c r="N5" i="4"/>
  <c r="N12" i="4" s="1"/>
  <c r="N16" i="4" s="1"/>
  <c r="B4" i="21"/>
  <c r="B7" i="1"/>
  <c r="N19" i="4"/>
  <c r="F19" i="1" s="1"/>
  <c r="J6" i="1"/>
  <c r="K4" i="6"/>
  <c r="Q4" i="6" s="1"/>
  <c r="H14" i="22"/>
  <c r="H23" i="22"/>
  <c r="E4" i="22"/>
  <c r="B9" i="1"/>
  <c r="L19" i="1"/>
  <c r="L18" i="1" s="1"/>
  <c r="H15" i="22"/>
  <c r="Z57" i="10"/>
  <c r="E51" i="1"/>
  <c r="K52" i="1"/>
  <c r="N52" i="1"/>
  <c r="H2" i="3"/>
  <c r="Q2" i="3" s="1"/>
  <c r="J2" i="3"/>
  <c r="F2" i="3"/>
  <c r="O2" i="3" s="1"/>
  <c r="P236" i="14"/>
  <c r="H20" i="22"/>
  <c r="H19" i="22"/>
  <c r="AC55" i="10"/>
  <c r="N265" i="14"/>
  <c r="N236" i="14"/>
  <c r="G265" i="14"/>
  <c r="H16" i="9"/>
  <c r="Q41" i="1"/>
  <c r="P265" i="14"/>
  <c r="Q51" i="1"/>
  <c r="I235" i="14"/>
  <c r="C235" i="14"/>
  <c r="D235" i="14"/>
  <c r="F265" i="14"/>
  <c r="H265" i="14"/>
  <c r="L266" i="14"/>
  <c r="M265" i="14"/>
  <c r="O265" i="14"/>
  <c r="C265" i="14"/>
  <c r="I265" i="14"/>
  <c r="J265" i="14"/>
  <c r="L265" i="14"/>
  <c r="Q265" i="14"/>
  <c r="K2" i="4"/>
  <c r="P51" i="1"/>
  <c r="AC58" i="10"/>
  <c r="H27" i="11"/>
  <c r="F27" i="1"/>
  <c r="H13" i="11"/>
  <c r="B6" i="1"/>
  <c r="K4" i="4"/>
  <c r="Q37" i="1"/>
  <c r="N13" i="4"/>
  <c r="N17" i="4" s="1"/>
  <c r="Q15" i="1"/>
  <c r="Q17" i="1" s="1"/>
  <c r="Q16" i="1" s="1"/>
  <c r="N20" i="4"/>
  <c r="C33" i="4"/>
  <c r="H33" i="4" s="1"/>
  <c r="C35" i="4"/>
  <c r="H35" i="4" s="1"/>
  <c r="H12" i="11"/>
  <c r="H112" i="11"/>
  <c r="H105" i="11"/>
  <c r="Q36" i="1"/>
  <c r="AC57" i="10"/>
  <c r="K8" i="4"/>
  <c r="B10" i="1"/>
  <c r="H109" i="11"/>
  <c r="H113" i="11"/>
  <c r="L14" i="1"/>
  <c r="L17" i="1"/>
  <c r="L16" i="1"/>
  <c r="L15" i="1"/>
  <c r="AC59" i="10"/>
  <c r="C34" i="4"/>
  <c r="H34" i="4" s="1"/>
  <c r="I7" i="4"/>
  <c r="C29" i="4" s="1"/>
  <c r="H29" i="4" s="1"/>
  <c r="C32" i="4"/>
  <c r="H32" i="4" s="1"/>
  <c r="K17" i="4"/>
  <c r="K34" i="4" s="1"/>
  <c r="L45" i="24" s="1"/>
  <c r="N11" i="4"/>
  <c r="N21" i="4"/>
  <c r="N7" i="4"/>
  <c r="B14" i="24" s="1"/>
  <c r="E14" i="24" s="1"/>
  <c r="N8" i="4"/>
  <c r="N9" i="4"/>
  <c r="Q26" i="1"/>
  <c r="H20" i="11"/>
  <c r="H76" i="11"/>
  <c r="F33" i="1"/>
  <c r="L25" i="1"/>
  <c r="L35" i="1"/>
  <c r="AC56" i="10"/>
  <c r="F31" i="1"/>
  <c r="L23" i="1"/>
  <c r="L29" i="1"/>
  <c r="Q24" i="1"/>
  <c r="Q30" i="1"/>
  <c r="F25" i="1"/>
  <c r="F29" i="1"/>
  <c r="F35" i="1"/>
  <c r="L27" i="1"/>
  <c r="L33" i="1"/>
  <c r="Q28" i="1"/>
  <c r="Q34" i="1"/>
  <c r="L31" i="1"/>
  <c r="L37" i="1"/>
  <c r="Q32" i="1"/>
  <c r="H19" i="9"/>
  <c r="Q40" i="1"/>
  <c r="E42" i="1"/>
  <c r="H20" i="9"/>
  <c r="E41" i="1"/>
  <c r="N41" i="1"/>
  <c r="L264" i="14"/>
  <c r="M264" i="14"/>
  <c r="J264" i="14"/>
  <c r="P264" i="14"/>
  <c r="Q264" i="14"/>
  <c r="N264" i="14"/>
  <c r="O264" i="14"/>
  <c r="D264" i="14"/>
  <c r="E264" i="14"/>
  <c r="C264" i="14"/>
  <c r="G264" i="14"/>
  <c r="N237" i="14"/>
  <c r="K237" i="14"/>
  <c r="G237" i="14"/>
  <c r="L237" i="14"/>
  <c r="M237" i="14"/>
  <c r="O237" i="14"/>
  <c r="P237" i="14"/>
  <c r="Q237" i="14"/>
  <c r="D237" i="14"/>
  <c r="E237" i="14"/>
  <c r="F237" i="14"/>
  <c r="F26" i="1"/>
  <c r="F264" i="14"/>
  <c r="C237" i="14"/>
  <c r="P235" i="14"/>
  <c r="M235" i="14"/>
  <c r="F235" i="14"/>
  <c r="G235" i="14"/>
  <c r="H235" i="14"/>
  <c r="Q235" i="14"/>
  <c r="J235" i="14"/>
  <c r="K235" i="14"/>
  <c r="L235" i="14"/>
  <c r="E235" i="14"/>
  <c r="N235" i="14"/>
  <c r="O235" i="14"/>
  <c r="H22" i="9"/>
  <c r="J237" i="14"/>
  <c r="I264" i="14"/>
  <c r="F266" i="14"/>
  <c r="O266" i="14"/>
  <c r="P266" i="14"/>
  <c r="I266" i="14"/>
  <c r="Q266" i="14"/>
  <c r="J266" i="14"/>
  <c r="D266" i="14"/>
  <c r="N266" i="14"/>
  <c r="M266" i="14"/>
  <c r="C266" i="14"/>
  <c r="H266" i="14"/>
  <c r="K266" i="14"/>
  <c r="F23" i="1"/>
  <c r="C21" i="4"/>
  <c r="C19" i="4"/>
  <c r="Q35" i="1"/>
  <c r="Q31" i="1"/>
  <c r="Q27" i="1"/>
  <c r="Q23" i="1"/>
  <c r="L34" i="1"/>
  <c r="L30" i="1"/>
  <c r="L26" i="1"/>
  <c r="F37" i="1"/>
  <c r="T21" i="4"/>
  <c r="J8" i="24" s="1"/>
  <c r="I237" i="14"/>
  <c r="G266" i="14"/>
  <c r="H264" i="14"/>
  <c r="D236" i="14"/>
  <c r="C236" i="14"/>
  <c r="Q236" i="14"/>
  <c r="G236" i="14"/>
  <c r="O236" i="14"/>
  <c r="H236" i="14"/>
  <c r="E236" i="14"/>
  <c r="F236" i="14"/>
  <c r="K236" i="14"/>
  <c r="L236" i="14"/>
  <c r="I236" i="14"/>
  <c r="J236" i="14"/>
  <c r="F24" i="1"/>
  <c r="F28" i="1"/>
  <c r="F30" i="1"/>
  <c r="F32" i="1"/>
  <c r="F34" i="1"/>
  <c r="F36" i="1"/>
  <c r="L24" i="1"/>
  <c r="L28" i="1"/>
  <c r="L32" i="1"/>
  <c r="L36" i="1"/>
  <c r="Q25" i="1"/>
  <c r="Q29" i="1"/>
  <c r="Q33" i="1"/>
  <c r="E265" i="14"/>
  <c r="K265" i="14"/>
  <c r="H13" i="22" l="1"/>
  <c r="N41" i="24"/>
  <c r="Q50" i="24"/>
  <c r="P50" i="24"/>
  <c r="Q19" i="24"/>
  <c r="F23" i="24"/>
  <c r="F17" i="24"/>
  <c r="H17" i="22"/>
  <c r="J41" i="24"/>
  <c r="Q18" i="24"/>
  <c r="F19" i="24"/>
  <c r="H18" i="22"/>
  <c r="J42" i="24"/>
  <c r="H12" i="22"/>
  <c r="E40" i="24"/>
  <c r="H21" i="22"/>
  <c r="N42" i="24"/>
  <c r="P50" i="1"/>
  <c r="Q50" i="1"/>
  <c r="H4" i="22"/>
  <c r="E23" i="22"/>
  <c r="H13" i="9"/>
  <c r="B14" i="1"/>
  <c r="E14" i="1" s="1"/>
  <c r="J41" i="1"/>
  <c r="H21" i="9"/>
  <c r="Q14" i="1"/>
  <c r="H18" i="9"/>
  <c r="E40" i="1"/>
  <c r="Q18" i="1"/>
  <c r="J42" i="1"/>
  <c r="N42" i="1"/>
  <c r="Q19" i="1"/>
  <c r="H17" i="9"/>
  <c r="H12" i="9"/>
  <c r="H4" i="9"/>
  <c r="L45" i="1"/>
  <c r="N15" i="4"/>
  <c r="F18" i="24" s="1"/>
  <c r="F17" i="1"/>
  <c r="G21" i="4"/>
  <c r="H21" i="4" s="1"/>
  <c r="N46" i="24" s="1"/>
  <c r="J8" i="1"/>
  <c r="K14" i="4"/>
  <c r="Q47" i="24" s="1"/>
  <c r="G24" i="4"/>
  <c r="H24" i="4" s="1"/>
  <c r="G47" i="24" s="1"/>
  <c r="E23" i="9"/>
  <c r="G19" i="4"/>
  <c r="H19" i="4" s="1"/>
  <c r="G18" i="4"/>
  <c r="H18" i="4" s="1"/>
  <c r="D46" i="24" s="1"/>
  <c r="G17" i="4"/>
  <c r="H17" i="4" s="1"/>
  <c r="J45" i="24" s="1"/>
  <c r="G20" i="4"/>
  <c r="H20" i="4" s="1"/>
  <c r="G22" i="4"/>
  <c r="H22" i="4" s="1"/>
  <c r="Q46" i="24" s="1"/>
  <c r="C14" i="4"/>
  <c r="K47" i="24" s="1"/>
  <c r="H14" i="4"/>
  <c r="N47" i="24" s="1"/>
  <c r="G23" i="4"/>
  <c r="H23" i="4" s="1"/>
  <c r="D47" i="24" s="1"/>
  <c r="AA50" i="10"/>
  <c r="E14" i="22" l="1"/>
  <c r="G46" i="24"/>
  <c r="H51" i="24"/>
  <c r="H50" i="24"/>
  <c r="E15" i="22"/>
  <c r="K50" i="24"/>
  <c r="K51" i="24"/>
  <c r="K46" i="24"/>
  <c r="E21" i="22"/>
  <c r="E12" i="22"/>
  <c r="E19" i="22"/>
  <c r="E16" i="22"/>
  <c r="E20" i="22"/>
  <c r="E22" i="22"/>
  <c r="E18" i="22"/>
  <c r="E13" i="22"/>
  <c r="E17" i="22"/>
  <c r="F18" i="1"/>
  <c r="E21" i="9"/>
  <c r="N47" i="1"/>
  <c r="AB58" i="10"/>
  <c r="Q11" i="10"/>
  <c r="AA5" i="10"/>
  <c r="E19" i="9"/>
  <c r="Q18" i="10"/>
  <c r="Q19" i="10"/>
  <c r="AA6" i="10"/>
  <c r="U5" i="10" s="1"/>
  <c r="R6" i="10"/>
  <c r="R17" i="10"/>
  <c r="AB56" i="10"/>
  <c r="Q10" i="10"/>
  <c r="Q7" i="10"/>
  <c r="R13" i="10"/>
  <c r="AA4" i="10"/>
  <c r="Q5" i="10"/>
  <c r="W5" i="10" s="1"/>
  <c r="AB55" i="10"/>
  <c r="Q16" i="10"/>
  <c r="R11" i="10"/>
  <c r="R12" i="10"/>
  <c r="Q12" i="10"/>
  <c r="R8" i="10"/>
  <c r="R9" i="10"/>
  <c r="Q22" i="10"/>
  <c r="W22" i="10" s="1"/>
  <c r="Q14" i="10"/>
  <c r="R14" i="10"/>
  <c r="R16" i="10"/>
  <c r="R5" i="10"/>
  <c r="X5" i="10" s="1"/>
  <c r="Q13" i="10"/>
  <c r="Q17" i="10"/>
  <c r="AB57" i="10"/>
  <c r="R15" i="10"/>
  <c r="Q6" i="10"/>
  <c r="R10" i="10"/>
  <c r="R7" i="10"/>
  <c r="AB59" i="10"/>
  <c r="Q9" i="10"/>
  <c r="Q15" i="10"/>
  <c r="Q8" i="10"/>
  <c r="G47" i="1"/>
  <c r="K47" i="1"/>
  <c r="E20" i="9"/>
  <c r="E13" i="9"/>
  <c r="D46" i="1"/>
  <c r="Q47" i="1"/>
  <c r="E22" i="9"/>
  <c r="N46" i="1"/>
  <c r="E16" i="9"/>
  <c r="E17" i="9"/>
  <c r="Q46" i="1"/>
  <c r="E18" i="9"/>
  <c r="D47" i="1"/>
  <c r="K50" i="1"/>
  <c r="K46" i="1"/>
  <c r="E15" i="9"/>
  <c r="K51" i="1"/>
  <c r="N200" i="14"/>
  <c r="M200" i="14"/>
  <c r="L200" i="14"/>
  <c r="K200" i="14"/>
  <c r="P190" i="14"/>
  <c r="D199" i="14"/>
  <c r="E199" i="14"/>
  <c r="O190" i="14"/>
  <c r="M199" i="14"/>
  <c r="I190" i="14"/>
  <c r="K199" i="14"/>
  <c r="N190" i="14"/>
  <c r="F200" i="14"/>
  <c r="P200" i="14"/>
  <c r="G200" i="14"/>
  <c r="H190" i="14"/>
  <c r="P199" i="14"/>
  <c r="K190" i="14"/>
  <c r="J199" i="14"/>
  <c r="G199" i="14"/>
  <c r="F199" i="14"/>
  <c r="E12" i="9"/>
  <c r="B200" i="14"/>
  <c r="H200" i="14"/>
  <c r="C200" i="14"/>
  <c r="D190" i="14"/>
  <c r="J190" i="14"/>
  <c r="G190" i="14"/>
  <c r="M190" i="14"/>
  <c r="O199" i="14"/>
  <c r="I200" i="14"/>
  <c r="D200" i="14"/>
  <c r="J45" i="1"/>
  <c r="H199" i="14"/>
  <c r="B190" i="14"/>
  <c r="I199" i="14"/>
  <c r="E190" i="14"/>
  <c r="C190" i="14"/>
  <c r="E200" i="14"/>
  <c r="N199" i="14"/>
  <c r="O200" i="14"/>
  <c r="F190" i="14"/>
  <c r="L199" i="14"/>
  <c r="L190" i="14"/>
  <c r="C199" i="14"/>
  <c r="J200" i="14"/>
  <c r="B199" i="14"/>
  <c r="H50" i="1"/>
  <c r="G46" i="1"/>
  <c r="E14" i="9"/>
  <c r="H51" i="1"/>
  <c r="R6" i="22" l="1"/>
  <c r="N50" i="24"/>
  <c r="N51" i="24"/>
  <c r="T6" i="9"/>
  <c r="T6" i="22"/>
  <c r="W6" i="10"/>
  <c r="T6" i="10"/>
  <c r="W7" i="10"/>
  <c r="T7" i="10"/>
  <c r="X6" i="10"/>
  <c r="U6" i="10"/>
  <c r="U15" i="10"/>
  <c r="X15" i="10"/>
  <c r="U12" i="10"/>
  <c r="X12" i="10"/>
  <c r="N50" i="1"/>
  <c r="R6" i="9"/>
  <c r="N51" i="1"/>
  <c r="T10" i="10"/>
  <c r="W10" i="10"/>
  <c r="T22" i="10"/>
  <c r="T5" i="10"/>
  <c r="T14" i="10"/>
  <c r="W14" i="10"/>
  <c r="U16" i="10"/>
  <c r="X16" i="10"/>
  <c r="X11" i="10"/>
  <c r="U11" i="10"/>
  <c r="W19" i="10"/>
  <c r="T19" i="10"/>
  <c r="W11" i="10"/>
  <c r="T11" i="10"/>
  <c r="W9" i="10"/>
  <c r="T9" i="10"/>
  <c r="W13" i="10"/>
  <c r="T13" i="10"/>
  <c r="W12" i="10"/>
  <c r="T12" i="10"/>
  <c r="W8" i="10"/>
  <c r="T8" i="10"/>
  <c r="U7" i="10"/>
  <c r="X7" i="10"/>
  <c r="U9" i="10"/>
  <c r="X9" i="10"/>
  <c r="T15" i="10"/>
  <c r="W15" i="10"/>
  <c r="U10" i="10"/>
  <c r="X10" i="10"/>
  <c r="T17" i="10"/>
  <c r="W17" i="10"/>
  <c r="X14" i="10"/>
  <c r="U14" i="10"/>
  <c r="X8" i="10"/>
  <c r="U8" i="10"/>
  <c r="T16" i="10"/>
  <c r="W16" i="10"/>
  <c r="X13" i="10"/>
  <c r="U13" i="10"/>
  <c r="U17" i="10"/>
  <c r="X17" i="10"/>
  <c r="W18" i="10"/>
  <c r="T18" i="10"/>
</calcChain>
</file>

<file path=xl/sharedStrings.xml><?xml version="1.0" encoding="utf-8"?>
<sst xmlns="http://schemas.openxmlformats.org/spreadsheetml/2006/main" count="2565" uniqueCount="768">
  <si>
    <t>Instructions</t>
  </si>
  <si>
    <t>Palladium Fantasy Character Sheet</t>
  </si>
  <si>
    <t>Attributes</t>
  </si>
  <si>
    <t>Character Description &amp; Background</t>
  </si>
  <si>
    <t>I.Q.</t>
  </si>
  <si>
    <t>Name</t>
  </si>
  <si>
    <t>Birth Order</t>
  </si>
  <si>
    <t>M.E.</t>
  </si>
  <si>
    <t>Race</t>
  </si>
  <si>
    <t>H.F.</t>
  </si>
  <si>
    <t>Disposition</t>
  </si>
  <si>
    <t>M.A.</t>
  </si>
  <si>
    <t>O.C.C.</t>
  </si>
  <si>
    <t>Land of Origin</t>
  </si>
  <si>
    <t>P.S.</t>
  </si>
  <si>
    <t>Experience</t>
  </si>
  <si>
    <t>Level</t>
  </si>
  <si>
    <t>Type of Environment</t>
  </si>
  <si>
    <t>P.P.</t>
  </si>
  <si>
    <t>Alignment</t>
  </si>
  <si>
    <t>P.P.E.</t>
  </si>
  <si>
    <t>Social Background</t>
  </si>
  <si>
    <t>P.E.</t>
  </si>
  <si>
    <t>Age</t>
  </si>
  <si>
    <t>Gender</t>
  </si>
  <si>
    <t>P.B.</t>
  </si>
  <si>
    <t>Height</t>
  </si>
  <si>
    <t>Weight</t>
  </si>
  <si>
    <t>Patron Diety</t>
  </si>
  <si>
    <t>Spd.</t>
  </si>
  <si>
    <t>Hair Color</t>
  </si>
  <si>
    <t>Eye Color</t>
  </si>
  <si>
    <t>Insanity, if any</t>
  </si>
  <si>
    <t>Derived Values</t>
  </si>
  <si>
    <t>Carry</t>
  </si>
  <si>
    <t>Lift</t>
  </si>
  <si>
    <t>lbs.</t>
  </si>
  <si>
    <t>Run, feet per second</t>
  </si>
  <si>
    <t>Jump, length in feet (standing)</t>
  </si>
  <si>
    <t>Max Carry (in minutes), light</t>
  </si>
  <si>
    <t>Run, yards per melee</t>
  </si>
  <si>
    <t>-- length (with a running start)</t>
  </si>
  <si>
    <t>-- max carry, heavy exertion</t>
  </si>
  <si>
    <t>Run, yards per minute</t>
  </si>
  <si>
    <t>Jump, height in feet (standing)</t>
  </si>
  <si>
    <t>Throw (in feet), up to 1 lb.</t>
  </si>
  <si>
    <t>Run, miles per hour</t>
  </si>
  <si>
    <t>-- height (with a running start)</t>
  </si>
  <si>
    <t>Throw (in feet), up to 10 lbs.</t>
  </si>
  <si>
    <t>Max speed, distance in miles</t>
  </si>
  <si>
    <t>Trust/Intimidate</t>
  </si>
  <si>
    <t>Throw (in feet), max carry</t>
  </si>
  <si>
    <t>1/2 Speed, distance in miles</t>
  </si>
  <si>
    <t>Charm/Impress</t>
  </si>
  <si>
    <t>Skills</t>
  </si>
  <si>
    <t>Skill Name</t>
  </si>
  <si>
    <t>%</t>
  </si>
  <si>
    <t>Saving Throws</t>
  </si>
  <si>
    <t>Coma/Death</t>
  </si>
  <si>
    <t>Horror Factor (HF)</t>
  </si>
  <si>
    <t>HF, Elemental Beings</t>
  </si>
  <si>
    <t>Possession</t>
  </si>
  <si>
    <t>Psionics</t>
  </si>
  <si>
    <t>Magic</t>
  </si>
  <si>
    <t>Poison/Drugs/Toxins</t>
  </si>
  <si>
    <t>Illusions</t>
  </si>
  <si>
    <t>Insanity</t>
  </si>
  <si>
    <t>Faerie Magic*</t>
  </si>
  <si>
    <t>Disease*</t>
  </si>
  <si>
    <t>Mind Control*</t>
  </si>
  <si>
    <t>Combat</t>
  </si>
  <si>
    <t>Hand to Hand:</t>
  </si>
  <si>
    <t>Hit Points</t>
  </si>
  <si>
    <t>S.D.C.</t>
  </si>
  <si>
    <t>Initiative</t>
  </si>
  <si>
    <t>Strike</t>
  </si>
  <si>
    <t>Parry</t>
  </si>
  <si>
    <t>Dodge</t>
  </si>
  <si>
    <t>Roll w/ Punch</t>
  </si>
  <si>
    <t>Pull Punch</t>
  </si>
  <si>
    <t>Damage Bonus</t>
  </si>
  <si>
    <t>Critical Range</t>
  </si>
  <si>
    <t>Knockout/Stun</t>
  </si>
  <si>
    <t>Deathblow</t>
  </si>
  <si>
    <t>Type</t>
  </si>
  <si>
    <t>Damage</t>
  </si>
  <si>
    <t>Armor</t>
  </si>
  <si>
    <t>A.R.</t>
  </si>
  <si>
    <t>Encumberance</t>
  </si>
  <si>
    <t>Special Abilities, Items, Notes</t>
  </si>
  <si>
    <t>Wealth</t>
  </si>
  <si>
    <t>Equipment</t>
  </si>
  <si>
    <t>Gold</t>
  </si>
  <si>
    <t>Item</t>
  </si>
  <si>
    <t>Qty.</t>
  </si>
  <si>
    <t>Location</t>
  </si>
  <si>
    <t>Value</t>
  </si>
  <si>
    <t>Valuable Gems</t>
  </si>
  <si>
    <t>Other Tradable Goods</t>
  </si>
  <si>
    <t>Companion or Riding Animal</t>
  </si>
  <si>
    <t>Animal Type</t>
  </si>
  <si>
    <t>Speed</t>
  </si>
  <si>
    <t>Attacks</t>
  </si>
  <si>
    <t>Notes</t>
  </si>
  <si>
    <t>Totals</t>
  </si>
  <si>
    <t>N/A</t>
  </si>
  <si>
    <t>Attribute</t>
  </si>
  <si>
    <t>Number Rolled</t>
  </si>
  <si>
    <t>Racial Bonus</t>
  </si>
  <si>
    <t>O.C.C. 
Bonus</t>
  </si>
  <si>
    <t>Skill Bonus</t>
  </si>
  <si>
    <t>Other Bonus</t>
  </si>
  <si>
    <t>Final Number</t>
  </si>
  <si>
    <t>Bonuses</t>
  </si>
  <si>
    <t>Psionic</t>
  </si>
  <si>
    <t>Hand to Hand: Damage</t>
  </si>
  <si>
    <t>Strike, Parry, &amp; Dodge</t>
  </si>
  <si>
    <t>Magic/Poison</t>
  </si>
  <si>
    <t>No bonuses</t>
  </si>
  <si>
    <t>Combat Stat</t>
  </si>
  <si>
    <t>Stat Bonus</t>
  </si>
  <si>
    <t>O.C.C. Bonus</t>
  </si>
  <si>
    <t>HtH Bonus</t>
  </si>
  <si>
    <t>Total Bonus</t>
  </si>
  <si>
    <t>Other Bonuses</t>
  </si>
  <si>
    <t>Level 1 (Roll)</t>
  </si>
  <si>
    <t>Level 2 (Roll)</t>
  </si>
  <si>
    <t>Level 3 (Roll)</t>
  </si>
  <si>
    <t>Roll with Punch</t>
  </si>
  <si>
    <t>Level 4 (Roll)</t>
  </si>
  <si>
    <t>Level 5 (Roll)</t>
  </si>
  <si>
    <t>Level 6 (Roll)</t>
  </si>
  <si>
    <t>Level 7 (Roll)</t>
  </si>
  <si>
    <t>Level 8 (Roll)</t>
  </si>
  <si>
    <t>Level Bonus</t>
  </si>
  <si>
    <t>Level 9 (Roll)</t>
  </si>
  <si>
    <t>Level 10 (Roll)</t>
  </si>
  <si>
    <t>Level 11 (Roll)</t>
  </si>
  <si>
    <t>Save vs.</t>
  </si>
  <si>
    <t>Level 12 (Roll)</t>
  </si>
  <si>
    <t>Level 13 (Roll)</t>
  </si>
  <si>
    <t>Level 14 (Roll)</t>
  </si>
  <si>
    <t>Level 15 (Roll)</t>
  </si>
  <si>
    <t>Total</t>
  </si>
  <si>
    <t>Poison/Drugs</t>
  </si>
  <si>
    <t>Disease</t>
  </si>
  <si>
    <t>Horror Factor</t>
  </si>
  <si>
    <t>HF (Elemetals)*</t>
  </si>
  <si>
    <t>Note: Some saves (such as Mind Control or Faerie Magic) are specialized, and marked with a * symbol. So a Mind Control attempt might be made using Drugs (or through Magic). In these cases, add BOTH bonuses together. So while Faerie Magic is a type of Magic (add both together), it will not help against Invocation or Circle Magic (Save vs. Magic only).</t>
  </si>
  <si>
    <t>Strength Type</t>
  </si>
  <si>
    <t>I.S.P.</t>
  </si>
  <si>
    <t>Normal</t>
  </si>
  <si>
    <t>P.S. over 30</t>
  </si>
  <si>
    <t>Giant</t>
  </si>
  <si>
    <t>Supernatural</t>
  </si>
  <si>
    <t>Throw, 1 lb.</t>
  </si>
  <si>
    <t>Throw, 10 lbs.</t>
  </si>
  <si>
    <t>Throw, Max</t>
  </si>
  <si>
    <t>Cell Symbols</t>
  </si>
  <si>
    <t>Plus sign</t>
  </si>
  <si>
    <t>+</t>
  </si>
  <si>
    <t>Percentile sign</t>
  </si>
  <si>
    <t>Weight sign</t>
  </si>
  <si>
    <t>Base</t>
  </si>
  <si>
    <t>2nd % Base</t>
  </si>
  <si>
    <t>3rd % Base</t>
  </si>
  <si>
    <t>Per Level</t>
  </si>
  <si>
    <t>Level Selected</t>
  </si>
  <si>
    <t>Other</t>
  </si>
  <si>
    <t>2nd % Total</t>
  </si>
  <si>
    <t>3rd % Total</t>
  </si>
  <si>
    <t>W.P.</t>
  </si>
  <si>
    <t>Throw</t>
  </si>
  <si>
    <t>Used</t>
  </si>
  <si>
    <t>Remaining</t>
  </si>
  <si>
    <t>Spells &amp; Psionic Powers</t>
  </si>
  <si>
    <t>Range</t>
  </si>
  <si>
    <t>Duration</t>
  </si>
  <si>
    <t>Saving Throw</t>
  </si>
  <si>
    <t>Cost</t>
  </si>
  <si>
    <t>Damage, if any</t>
  </si>
  <si>
    <t>Starting</t>
  </si>
  <si>
    <t>Character Level</t>
  </si>
  <si>
    <t>2. The "Character Description &amp; Background" has many optional fields. These are designed to help new players flesh out their characters. Most of them are taken from the Palladium Fantasy Second Edition main book "Character Background" section starting on page 32. Though many of those options often have a sentence description, usually a single word or two will convey the  concept on a character sheet (due to space concerns).</t>
  </si>
  <si>
    <t>3. "Max carry" (in minutes) for Light Activity and Heavy Exertion are taken from Palladium Fantasy First Edition, on page 8. Fatigue rules for P.E. over 30 from Rifts Ultimate Edition are also factored in.</t>
  </si>
  <si>
    <t>4. Distance for running for Max/Full Speed and 1/2 Speed (Cruising) are taken from Rifts Ultimate Edition, on page 317 under the "Running" skill.  Fatigue rules for P.E. over 30 from Rifts Ultimate Edition are also factored in.</t>
  </si>
  <si>
    <t>5. The "Throw" values use the "Optional" rules in the Palladium Fantasy Second Edition main book, on page 17. Though these are "Optional," I felt it helps make each character more varied in capabilities.</t>
  </si>
  <si>
    <t>6. The "Jump" values use the rules from Heroes Unlimited G.M.'s Guide, on pages 56-57 as part of the "Rampage" rules. These rules, as written, do not apply to normal characters, especially when NOT rampaging wild. However, the values seemed reasonable and, again, I felt this gave each character a greater degree of variety in their capabilities. These are not Palladium Fantasy rules, as I have not found any Palladium Fantasy rules for Jumping.</t>
  </si>
  <si>
    <t>7. The "Giant" Strength category is due to a reference in the Throwing ranges of the Palladium Fantasy Second Edition main book, on page 17. Giants (without Supernatural Strength) are equal to humans with Extraordinary Strength (20 or higher, for throwing) with a greater throwing range. I can find no other advantage to "Giant" strength.</t>
  </si>
  <si>
    <t>8. Supernatural Strength 17 and less limits are derived from Rifts Ultimate Edition, on page 286. Palladium Fantasy Second Edition main book, on page 17, mentions Supernatural with a P.S. of 17 or lower is equal to human carry (x10). This means a Superantural P.S. of 17 (x10) is weaker than a human P.S. of 17 (x20). Lower than that, they're only equal to a human. I find the Rifts Ultimate Edition note of Supernatural Strength equal to strong humans (x20) much more sensible with the concept of a Supernaturally strong character.</t>
  </si>
  <si>
    <t>Main Weapon</t>
  </si>
  <si>
    <t>Secondary/Alt.</t>
  </si>
  <si>
    <t>Backhand Strike</t>
  </si>
  <si>
    <t>Karate Strike/Punch</t>
  </si>
  <si>
    <t>Elbow/Forearm</t>
  </si>
  <si>
    <t>Karate Kick</t>
  </si>
  <si>
    <t>Jump Kick</t>
  </si>
  <si>
    <t>Roundhouse Kick</t>
  </si>
  <si>
    <t>Snap Kick</t>
  </si>
  <si>
    <t>Basic Kick (Standard)</t>
  </si>
  <si>
    <t>Basic Punch (Standard)</t>
  </si>
  <si>
    <t>Wheel Kick</t>
  </si>
  <si>
    <t>Knee</t>
  </si>
  <si>
    <t>Backward Sweep</t>
  </si>
  <si>
    <t>Axe Kick</t>
  </si>
  <si>
    <t>Crescent Kick</t>
  </si>
  <si>
    <t>Standard</t>
  </si>
  <si>
    <t>Power</t>
  </si>
  <si>
    <t>1D6</t>
  </si>
  <si>
    <t>1D4</t>
  </si>
  <si>
    <t>2D4</t>
  </si>
  <si>
    <t>2D6</t>
  </si>
  <si>
    <t>3D6</t>
  </si>
  <si>
    <t>Tripping/Leg Hook</t>
  </si>
  <si>
    <t>None</t>
  </si>
  <si>
    <t>6D6</t>
  </si>
  <si>
    <t>Flying Jump Kick</t>
  </si>
  <si>
    <t>4D6</t>
  </si>
  <si>
    <t>Supernatural Damage</t>
  </si>
  <si>
    <t>Restrained</t>
  </si>
  <si>
    <t>Power Punch</t>
  </si>
  <si>
    <t>Restrained Punch</t>
  </si>
  <si>
    <t>Full Strength Punch</t>
  </si>
  <si>
    <t>Supernatural Damage Table</t>
  </si>
  <si>
    <t>Full</t>
  </si>
  <si>
    <t>1D4x10</t>
  </si>
  <si>
    <t>5D6</t>
  </si>
  <si>
    <t>1D6x10</t>
  </si>
  <si>
    <t>2D4x10</t>
  </si>
  <si>
    <t>2D6x10</t>
  </si>
  <si>
    <t>3D6x10</t>
  </si>
  <si>
    <t>Max Full</t>
  </si>
  <si>
    <t>Attack</t>
  </si>
  <si>
    <t>Weapon Proficiencies</t>
  </si>
  <si>
    <t>Weapons</t>
  </si>
  <si>
    <t>Saves</t>
  </si>
  <si>
    <t>Basic</t>
  </si>
  <si>
    <t>Expert</t>
  </si>
  <si>
    <t>Martial Arts</t>
  </si>
  <si>
    <t>Assassin</t>
  </si>
  <si>
    <t>Entangle</t>
  </si>
  <si>
    <t>Body Flip/Throw</t>
  </si>
  <si>
    <t>Body Block/Tackle</t>
  </si>
  <si>
    <t>Basic Punch, Standard</t>
  </si>
  <si>
    <t>Basic Kick, Standard</t>
  </si>
  <si>
    <t>Attack
(check if known)</t>
  </si>
  <si>
    <t>Unarmed Attacks</t>
  </si>
  <si>
    <t>Faerie Magic</t>
  </si>
  <si>
    <t>HF; Elemental</t>
  </si>
  <si>
    <t>Illusion</t>
  </si>
  <si>
    <t>Mind Control</t>
  </si>
  <si>
    <t>Ability 1</t>
  </si>
  <si>
    <t>Ability 2</t>
  </si>
  <si>
    <t>Ability 3</t>
  </si>
  <si>
    <t>Main</t>
  </si>
  <si>
    <t>Alt.</t>
  </si>
  <si>
    <t>Ability 4</t>
  </si>
  <si>
    <t>Craftsmanship</t>
  </si>
  <si>
    <t>Natural A.R.</t>
  </si>
  <si>
    <t>Damage Taken</t>
  </si>
  <si>
    <t>Details</t>
  </si>
  <si>
    <t>Racial Bonuses</t>
  </si>
  <si>
    <t>Direct to H.P.</t>
  </si>
  <si>
    <t>Category</t>
  </si>
  <si>
    <t>Standard 
Damage</t>
  </si>
  <si>
    <t>Power 
Damage</t>
  </si>
  <si>
    <t>Base Damage</t>
  </si>
  <si>
    <t>D6</t>
  </si>
  <si>
    <t>D6x10</t>
  </si>
  <si>
    <t>Modifier</t>
  </si>
  <si>
    <t>HtH / Level</t>
  </si>
  <si>
    <t>Roll</t>
  </si>
  <si>
    <t>Pull</t>
  </si>
  <si>
    <t>Critical</t>
  </si>
  <si>
    <t>Knockout</t>
  </si>
  <si>
    <t>19-20</t>
  </si>
  <si>
    <t>Penalties</t>
  </si>
  <si>
    <t>Cloth</t>
  </si>
  <si>
    <t>Padded</t>
  </si>
  <si>
    <t>Soft Leather</t>
  </si>
  <si>
    <t>Hard Leather</t>
  </si>
  <si>
    <t>Studded Leather</t>
  </si>
  <si>
    <t>-5% prowl, climb, &amp; swim</t>
  </si>
  <si>
    <t>Chain Mail</t>
  </si>
  <si>
    <t>-10% prowl, climb, &amp; swim</t>
  </si>
  <si>
    <t>Chain Mail, half</t>
  </si>
  <si>
    <t>Double Mail</t>
  </si>
  <si>
    <t>Double Mail, half</t>
  </si>
  <si>
    <t>Scale</t>
  </si>
  <si>
    <t>18-20</t>
  </si>
  <si>
    <t>Scale, half</t>
  </si>
  <si>
    <t>Splint</t>
  </si>
  <si>
    <t>-15%prowl,-20%climb&amp;swim</t>
  </si>
  <si>
    <t>Splint, half</t>
  </si>
  <si>
    <t>Plate</t>
  </si>
  <si>
    <t>Plate, half</t>
  </si>
  <si>
    <t>Plate &amp; Chain</t>
  </si>
  <si>
    <t>17-20</t>
  </si>
  <si>
    <t>Thrown</t>
  </si>
  <si>
    <t>ROF</t>
  </si>
  <si>
    <t>SN Full</t>
  </si>
  <si>
    <t>SN Power</t>
  </si>
  <si>
    <t>Normal Damage</t>
  </si>
  <si>
    <t>Checkbox</t>
  </si>
  <si>
    <t>If Known</t>
  </si>
  <si>
    <t>Character Damage</t>
  </si>
  <si>
    <t>Damage Table</t>
  </si>
  <si>
    <t>D4</t>
  </si>
  <si>
    <t>D8</t>
  </si>
  <si>
    <t>D10</t>
  </si>
  <si>
    <t>D12</t>
  </si>
  <si>
    <t>D4x10</t>
  </si>
  <si>
    <t>Armor Select</t>
  </si>
  <si>
    <t>Weapon Select</t>
  </si>
  <si>
    <t>Alt</t>
  </si>
  <si>
    <t># of Die</t>
  </si>
  <si>
    <t>Die Type</t>
  </si>
  <si>
    <t>Select</t>
  </si>
  <si>
    <t>Penalty</t>
  </si>
  <si>
    <t>Default Weapon Damage</t>
  </si>
  <si>
    <t>Basic Punch</t>
  </si>
  <si>
    <t>Barter</t>
  </si>
  <si>
    <t>Begging</t>
  </si>
  <si>
    <t>Clowning</t>
  </si>
  <si>
    <t>Dance</t>
  </si>
  <si>
    <t>Flag Signalling</t>
  </si>
  <si>
    <t>Jesting</t>
  </si>
  <si>
    <t>Language</t>
  </si>
  <si>
    <t>Literacy</t>
  </si>
  <si>
    <t>Mime</t>
  </si>
  <si>
    <t>Play Musical Instrument</t>
  </si>
  <si>
    <t>Public Speaking</t>
  </si>
  <si>
    <t>Sing</t>
  </si>
  <si>
    <t>Writing</t>
  </si>
  <si>
    <t>Cook</t>
  </si>
  <si>
    <t>Domestic</t>
  </si>
  <si>
    <t>Fishing</t>
  </si>
  <si>
    <t>Sew</t>
  </si>
  <si>
    <t>Detect Ambush</t>
  </si>
  <si>
    <t>Espionage</t>
  </si>
  <si>
    <t>Detect Concealment &amp; Traps</t>
  </si>
  <si>
    <t>Disguise</t>
  </si>
  <si>
    <t>Escape Artist</t>
  </si>
  <si>
    <t>Forgery</t>
  </si>
  <si>
    <t>Imitate Voices &amp; Impersonation</t>
  </si>
  <si>
    <t>Intelligence</t>
  </si>
  <si>
    <t>Pick Locks</t>
  </si>
  <si>
    <t>Pick Pockets</t>
  </si>
  <si>
    <t>Sniper</t>
  </si>
  <si>
    <t>Track Humanoids</t>
  </si>
  <si>
    <t>Horsemanship: Exotic Animals</t>
  </si>
  <si>
    <t>Horsemanship</t>
  </si>
  <si>
    <t>Horsemanship: General</t>
  </si>
  <si>
    <t>Horsemanship: Knight</t>
  </si>
  <si>
    <t>Horsemanship: Palladin</t>
  </si>
  <si>
    <t>Animal Husbandry</t>
  </si>
  <si>
    <t>Medical</t>
  </si>
  <si>
    <t>Biology</t>
  </si>
  <si>
    <t>Brewing</t>
  </si>
  <si>
    <t>First Aid</t>
  </si>
  <si>
    <t>Holistic Medicine</t>
  </si>
  <si>
    <t>Camouflage</t>
  </si>
  <si>
    <t>Military</t>
  </si>
  <si>
    <t>Falconry</t>
  </si>
  <si>
    <t>Field Armorer</t>
  </si>
  <si>
    <t>Heraldry</t>
  </si>
  <si>
    <t>Interrogation Techniques</t>
  </si>
  <si>
    <t>Military Etiquette</t>
  </si>
  <si>
    <t>Recognize Weapon Quality</t>
  </si>
  <si>
    <t>Siege Engineer</t>
  </si>
  <si>
    <t>Stalk/Capture</t>
  </si>
  <si>
    <t>Surveillance</t>
  </si>
  <si>
    <t>Castaway/Shipwreck Survival</t>
  </si>
  <si>
    <t>Nautical/Naval</t>
  </si>
  <si>
    <t>Deep Sea Fishing</t>
  </si>
  <si>
    <t>Identify Sea Life</t>
  </si>
  <si>
    <t>Lore: Sea</t>
  </si>
  <si>
    <t>Pilot Small Boats, Kayaks, &amp; Canoes</t>
  </si>
  <si>
    <t>Blacksmith</t>
  </si>
  <si>
    <t>Acrobatics</t>
  </si>
  <si>
    <t>Physical</t>
  </si>
  <si>
    <t>Athletics (general)</t>
  </si>
  <si>
    <t>Body Building &amp; Weight Lifting</t>
  </si>
  <si>
    <t>Boxing</t>
  </si>
  <si>
    <t>Climb/Scale Walls</t>
  </si>
  <si>
    <t>Forced March</t>
  </si>
  <si>
    <t>Gymnastics</t>
  </si>
  <si>
    <t>Juggling</t>
  </si>
  <si>
    <t>Physical Labor</t>
  </si>
  <si>
    <t>Prowl</t>
  </si>
  <si>
    <t>Running</t>
  </si>
  <si>
    <t>Swimming</t>
  </si>
  <si>
    <t>Tumbling</t>
  </si>
  <si>
    <t>Wrestling</t>
  </si>
  <si>
    <t>Card Shark</t>
  </si>
  <si>
    <t>Rogue/Thief</t>
  </si>
  <si>
    <t>Concealment</t>
  </si>
  <si>
    <t>Gambling (see Card Shark)</t>
  </si>
  <si>
    <t>Locate Secret Compartments/Doors</t>
  </si>
  <si>
    <t>Palming</t>
  </si>
  <si>
    <t>Seduction</t>
  </si>
  <si>
    <t>Streetwise</t>
  </si>
  <si>
    <t>Use &amp; Recognize Poison</t>
  </si>
  <si>
    <t>Ventriloquism</t>
  </si>
  <si>
    <t>Appraise Goods</t>
  </si>
  <si>
    <t>Scholar, Noble, &amp; Technical</t>
  </si>
  <si>
    <t>Area Knowledge</t>
  </si>
  <si>
    <t>Armor/Weapon Decoration</t>
  </si>
  <si>
    <t>Art</t>
  </si>
  <si>
    <t>Breed Dogs</t>
  </si>
  <si>
    <t>Excavation</t>
  </si>
  <si>
    <t>Fashion Tools</t>
  </si>
  <si>
    <t>Gem Cutting (see Gemology)</t>
  </si>
  <si>
    <t>Gemology</t>
  </si>
  <si>
    <t>General Repair</t>
  </si>
  <si>
    <t>Herding Cattle</t>
  </si>
  <si>
    <t>History</t>
  </si>
  <si>
    <t>Horse Trade</t>
  </si>
  <si>
    <t>Law</t>
  </si>
  <si>
    <t>Leather Working</t>
  </si>
  <si>
    <t>Legal Knowledge</t>
  </si>
  <si>
    <t>Lore: Culture &amp; Customs</t>
  </si>
  <si>
    <t>Lore: Demons &amp; Monsters</t>
  </si>
  <si>
    <t>Lore: Faerie Folk</t>
  </si>
  <si>
    <t>Lore: Farm</t>
  </si>
  <si>
    <t>Lore: Geomancy &amp; Ley Lines</t>
  </si>
  <si>
    <t>Lore: Magic</t>
  </si>
  <si>
    <t>Lore: Religion</t>
  </si>
  <si>
    <t>Lore: Undead</t>
  </si>
  <si>
    <t>Lore: Witch</t>
  </si>
  <si>
    <t>Masonry</t>
  </si>
  <si>
    <t>Mountaineering</t>
  </si>
  <si>
    <t>Pottery</t>
  </si>
  <si>
    <t>Research</t>
  </si>
  <si>
    <t>Rope Works</t>
  </si>
  <si>
    <t>Sailing</t>
  </si>
  <si>
    <t>Sculpting &amp; Whittling</t>
  </si>
  <si>
    <t>Teamster</t>
  </si>
  <si>
    <t>Anthropology</t>
  </si>
  <si>
    <t>Science</t>
  </si>
  <si>
    <t>Archaeology</t>
  </si>
  <si>
    <t>Botany</t>
  </si>
  <si>
    <t>Mathematics: Advanced</t>
  </si>
  <si>
    <t>Mathematics: Basic</t>
  </si>
  <si>
    <t>W.P. Archery</t>
  </si>
  <si>
    <t>Weapon Proficiency</t>
  </si>
  <si>
    <t>W.P. Battle Axe</t>
  </si>
  <si>
    <t>W.P. Blunt</t>
  </si>
  <si>
    <t>W.P. Bola</t>
  </si>
  <si>
    <t>W.P. Chain</t>
  </si>
  <si>
    <t>W.P. Forked Weapons/Trident</t>
  </si>
  <si>
    <t>W.P. Grappling Hook</t>
  </si>
  <si>
    <t>W.P. Harpoon</t>
  </si>
  <si>
    <t>W.P. Knife</t>
  </si>
  <si>
    <t>W.P. Modern Weapons</t>
  </si>
  <si>
    <t>W.P. Mouth Weapons/Blowguns</t>
  </si>
  <si>
    <t>W.P. Net</t>
  </si>
  <si>
    <t>W.P. Paired Weapons</t>
  </si>
  <si>
    <t>W.P. Pole Arm</t>
  </si>
  <si>
    <t>W.P. Shield</t>
  </si>
  <si>
    <t>W.P. Siege Weapons</t>
  </si>
  <si>
    <t>W.P. Spear</t>
  </si>
  <si>
    <t>W.P. Staff</t>
  </si>
  <si>
    <t>W.P. Sword</t>
  </si>
  <si>
    <t>W.P. Targeting/Missile Weapons</t>
  </si>
  <si>
    <t>W.P. Whip</t>
  </si>
  <si>
    <t>Boat Building</t>
  </si>
  <si>
    <t>Wilderness</t>
  </si>
  <si>
    <t>Carpentry</t>
  </si>
  <si>
    <t>Dowsing</t>
  </si>
  <si>
    <t>Hunting</t>
  </si>
  <si>
    <t>Identify Plants &amp; Fruits</t>
  </si>
  <si>
    <t>Land Navigation</t>
  </si>
  <si>
    <t>Preserve Food</t>
  </si>
  <si>
    <t>Skin &amp; Prepare Animal Hides</t>
  </si>
  <si>
    <t>Spelunking</t>
  </si>
  <si>
    <t>Track &amp; Trap Animals</t>
  </si>
  <si>
    <t>Wilderness Survival</t>
  </si>
  <si>
    <t>Attribute &amp; Combat Bonuses</t>
  </si>
  <si>
    <t>Mercenary</t>
  </si>
  <si>
    <t>Soldier</t>
  </si>
  <si>
    <t>Long Bowman</t>
  </si>
  <si>
    <t>Knight</t>
  </si>
  <si>
    <t>Palladin</t>
  </si>
  <si>
    <t>Ranger</t>
  </si>
  <si>
    <t>Thief</t>
  </si>
  <si>
    <t>Warrior Monk</t>
  </si>
  <si>
    <t>Merchant</t>
  </si>
  <si>
    <t>Noble</t>
  </si>
  <si>
    <t>Scholar</t>
  </si>
  <si>
    <t>Squire</t>
  </si>
  <si>
    <t>Vagabond/Farmer</t>
  </si>
  <si>
    <t>Human</t>
  </si>
  <si>
    <t>Elf</t>
  </si>
  <si>
    <t>Dwarf</t>
  </si>
  <si>
    <t>Gnome</t>
  </si>
  <si>
    <t>Troglodyte</t>
  </si>
  <si>
    <t>Kobold</t>
  </si>
  <si>
    <t>Goblin</t>
  </si>
  <si>
    <t>Goblin Cobbler</t>
  </si>
  <si>
    <t>Hob-Goblin</t>
  </si>
  <si>
    <t>Orc</t>
  </si>
  <si>
    <t>Ogre</t>
  </si>
  <si>
    <t>Troll</t>
  </si>
  <si>
    <t>Changeling</t>
  </si>
  <si>
    <t>Wolfen</t>
  </si>
  <si>
    <t>Coyle</t>
  </si>
  <si>
    <t>O.C.C. Bonuses</t>
  </si>
  <si>
    <t>Race Bonuses</t>
  </si>
  <si>
    <t>1st %</t>
  </si>
  <si>
    <t>2nd %</t>
  </si>
  <si>
    <t>3rd %</t>
  </si>
  <si>
    <t>Percentages</t>
  </si>
  <si>
    <t>Requires</t>
  </si>
  <si>
    <t>Communications</t>
  </si>
  <si>
    <t>Naval</t>
  </si>
  <si>
    <t>Rogue</t>
  </si>
  <si>
    <t>Technical</t>
  </si>
  <si>
    <t>WP</t>
  </si>
  <si>
    <t>Skill Categories</t>
  </si>
  <si>
    <t>Lore</t>
  </si>
  <si>
    <t>Language: Dwarven</t>
  </si>
  <si>
    <t>Language: Elven</t>
  </si>
  <si>
    <t>Language: Faerie Speak</t>
  </si>
  <si>
    <t>Language: Giantese</t>
  </si>
  <si>
    <t>Language: Gobblely</t>
  </si>
  <si>
    <t>Language: Human Eastern</t>
  </si>
  <si>
    <t>Language: Human Northern</t>
  </si>
  <si>
    <t>Language: Human Southern</t>
  </si>
  <si>
    <t>Language: Human Western</t>
  </si>
  <si>
    <t>Language: Wolfen</t>
  </si>
  <si>
    <t>Literacy: Dwarven</t>
  </si>
  <si>
    <t>Literacy: Elven</t>
  </si>
  <si>
    <t>Literacy: Giantese</t>
  </si>
  <si>
    <t>Literacy: Human Eastern</t>
  </si>
  <si>
    <t>Literacy: Human Northern</t>
  </si>
  <si>
    <t>Literacy: Human Southern</t>
  </si>
  <si>
    <t>Literacy: Human Western</t>
  </si>
  <si>
    <t>Literacy: Wolfen</t>
  </si>
  <si>
    <t>Language: Sign</t>
  </si>
  <si>
    <t>Communications &amp; Performing Arts</t>
  </si>
  <si>
    <t>Skill Category</t>
  </si>
  <si>
    <t>Alignments</t>
  </si>
  <si>
    <t>Good</t>
  </si>
  <si>
    <t>Principled</t>
  </si>
  <si>
    <t>Scrupulous</t>
  </si>
  <si>
    <t>Unprincipled</t>
  </si>
  <si>
    <t>Anarchist</t>
  </si>
  <si>
    <t>Miscreant</t>
  </si>
  <si>
    <t>Aberrant</t>
  </si>
  <si>
    <t>Diabolic</t>
  </si>
  <si>
    <t>Selfish</t>
  </si>
  <si>
    <t>Evil</t>
  </si>
  <si>
    <t>Not Selected</t>
  </si>
  <si>
    <t>Beastmaster</t>
  </si>
  <si>
    <t>Clergy</t>
  </si>
  <si>
    <t>Blade Priest</t>
  </si>
  <si>
    <t>Druid</t>
  </si>
  <si>
    <t>Priest of Dark</t>
  </si>
  <si>
    <t>Priest of Light</t>
  </si>
  <si>
    <t>Priest Variant: Evangelist/Preacher</t>
  </si>
  <si>
    <t>Priest Variant: Healing Priest</t>
  </si>
  <si>
    <t>Priest Variant: Scholar Priest</t>
  </si>
  <si>
    <t>Priest Variant: Warrior Priest</t>
  </si>
  <si>
    <t>Shaman</t>
  </si>
  <si>
    <t>Water Chanter</t>
  </si>
  <si>
    <t>Were-Shaman</t>
  </si>
  <si>
    <t>Acrobat/Tumbler</t>
  </si>
  <si>
    <t>Entertainer</t>
  </si>
  <si>
    <t>Actor</t>
  </si>
  <si>
    <t>Bard</t>
  </si>
  <si>
    <t>Juggler/Knife-Thrower</t>
  </si>
  <si>
    <t>Minstrel</t>
  </si>
  <si>
    <t>Prestidigitator</t>
  </si>
  <si>
    <t>Men of Arms</t>
  </si>
  <si>
    <t>Barbarian</t>
  </si>
  <si>
    <t>Barbarian Keeper</t>
  </si>
  <si>
    <t>Gladiator</t>
  </si>
  <si>
    <t>Holy Crusader</t>
  </si>
  <si>
    <t>Imperial Janissary</t>
  </si>
  <si>
    <t>Imperial Soldier</t>
  </si>
  <si>
    <t>Mercenary Warrior</t>
  </si>
  <si>
    <t>Nomadic Tribesman</t>
  </si>
  <si>
    <t>Palladin Variant: Holy Palladin of Rurga</t>
  </si>
  <si>
    <t>Slaver/Enforcer/Bounty Hunter</t>
  </si>
  <si>
    <t>Spy</t>
  </si>
  <si>
    <t>Undead Hunter</t>
  </si>
  <si>
    <t>Witch Hunter</t>
  </si>
  <si>
    <t>Artisan</t>
  </si>
  <si>
    <t>Optional</t>
  </si>
  <si>
    <t>Fletcher</t>
  </si>
  <si>
    <t>Lumberjack</t>
  </si>
  <si>
    <t>Master Collector</t>
  </si>
  <si>
    <t>Monk Scholar</t>
  </si>
  <si>
    <t>Trapper/Woodsman</t>
  </si>
  <si>
    <t>Vagabond/Peasant/Farmer</t>
  </si>
  <si>
    <t>Conjurer</t>
  </si>
  <si>
    <t>Practitioner of Magic</t>
  </si>
  <si>
    <t>Diabolist</t>
  </si>
  <si>
    <t>Forsaken Mage</t>
  </si>
  <si>
    <t>Life Force Wizard</t>
  </si>
  <si>
    <t>Necromancer</t>
  </si>
  <si>
    <t>Summoner</t>
  </si>
  <si>
    <t>Warlock</t>
  </si>
  <si>
    <t>Witch</t>
  </si>
  <si>
    <t>Wizard</t>
  </si>
  <si>
    <t>Illusionist</t>
  </si>
  <si>
    <t>Psychic</t>
  </si>
  <si>
    <t>Mind Mage</t>
  </si>
  <si>
    <t>Psi-Healer</t>
  </si>
  <si>
    <t>Psi-Mystic</t>
  </si>
  <si>
    <t>Psychic Sensitive</t>
  </si>
  <si>
    <t>Danzi: Clan Shaman</t>
  </si>
  <si>
    <t>Racial</t>
  </si>
  <si>
    <t>Danzi: Wandering Shaman</t>
  </si>
  <si>
    <t>Dwarvling: Buccaneer</t>
  </si>
  <si>
    <t>Gosai: Assassin</t>
  </si>
  <si>
    <t>Iceborn: Female: Sea Witch</t>
  </si>
  <si>
    <t>Iceborn: Female: Skinbinder</t>
  </si>
  <si>
    <t>Iceborn: Male: Captain</t>
  </si>
  <si>
    <t>Iceborn: Male: Raider</t>
  </si>
  <si>
    <t>Minotaur: Chaos Priest (Priest of Darkness)</t>
  </si>
  <si>
    <t>Minotaur: Disciple of the Old Ones (Witch)</t>
  </si>
  <si>
    <t>Minotaur: Mutant: Adraodan: Crusader of Light</t>
  </si>
  <si>
    <t>Minotaur: Mutant: Kkaiojan: Soldier of Darkness</t>
  </si>
  <si>
    <t>Quillback: Scavenger</t>
  </si>
  <si>
    <t>Quorian: Oneiromancer</t>
  </si>
  <si>
    <t>Bizantium Marine</t>
  </si>
  <si>
    <t>Seafarer</t>
  </si>
  <si>
    <t>Fisherman</t>
  </si>
  <si>
    <t>Mariner</t>
  </si>
  <si>
    <t>Pirate</t>
  </si>
  <si>
    <t>Sailor</t>
  </si>
  <si>
    <t>Serpent Chaser</t>
  </si>
  <si>
    <t>Waterchanter</t>
  </si>
  <si>
    <t>O.C.C. Categories</t>
  </si>
  <si>
    <t>MenOfArms</t>
  </si>
  <si>
    <t>Miner</t>
  </si>
  <si>
    <t>Select O.C.C. Here</t>
  </si>
  <si>
    <t>O.C.C Category</t>
  </si>
  <si>
    <t>Undecided</t>
  </si>
  <si>
    <t>Prereq.</t>
  </si>
  <si>
    <t>Skill Synergy</t>
  </si>
  <si>
    <t>Synergy</t>
  </si>
  <si>
    <t>Stats</t>
  </si>
  <si>
    <t>Gigante: Warlord</t>
  </si>
  <si>
    <t>Select_First</t>
  </si>
  <si>
    <t>Select_Category</t>
  </si>
  <si>
    <t>Holistic Medicine &amp; Biology</t>
  </si>
  <si>
    <t>Mathematics: Basic &amp; Literacy</t>
  </si>
  <si>
    <t>Experience Chart</t>
  </si>
  <si>
    <t>1. Enter Experience Points on Character Sheet. Note: I personally like to add Experience Points using the "=" command. As an example, in Game 1 you earn 300 experience points. In Game 2 you earn 700 experience points. And in Game 3 you earn 500 experience points. So in the "Experience" tab on the Character sheet, you'd type "=300+700+500" and Excel will automatically calculate the total for you. At the end of each game just click on the Formula Bar at the top of Excel and add "+" the number of Experience you earned that game. This lets you keep a record of Experience earned per game, and saves on simple math mistakes.</t>
  </si>
  <si>
    <t>2. Character level will automatically calculate as you gain more and more experience.</t>
  </si>
  <si>
    <t>Evasive Combat</t>
  </si>
  <si>
    <t>Skudasa</t>
  </si>
  <si>
    <t>W.P. Category</t>
  </si>
  <si>
    <t>W.P. Throwing (see Targeting)</t>
  </si>
  <si>
    <t>W.P. Incendiaries</t>
  </si>
  <si>
    <t>Primary Weapons &amp; Armor (Quick Reference)</t>
  </si>
  <si>
    <t>H.P.</t>
  </si>
  <si>
    <t>Rate of Fire</t>
  </si>
  <si>
    <t>Attacks (APM)</t>
  </si>
  <si>
    <t>Special</t>
  </si>
  <si>
    <t>Custom</t>
  </si>
  <si>
    <t>Custom 1</t>
  </si>
  <si>
    <t>Custom 2</t>
  </si>
  <si>
    <t>Custom 3</t>
  </si>
  <si>
    <t>Example</t>
  </si>
  <si>
    <t>Skills Example</t>
  </si>
  <si>
    <t>Custom Skills</t>
  </si>
  <si>
    <t>W.P. Pole Arm (example)</t>
  </si>
  <si>
    <r>
      <t xml:space="preserve">Note: Default values above are equal to that of No Hand to Hand combat training. When entering in values, ensure each level shows the </t>
    </r>
    <r>
      <rPr>
        <i/>
        <sz val="11"/>
        <color theme="1"/>
        <rFont val="Calibri"/>
        <family val="2"/>
        <scheme val="minor"/>
      </rPr>
      <t>total</t>
    </r>
    <r>
      <rPr>
        <sz val="11"/>
        <color theme="1"/>
        <rFont val="Calibri"/>
        <family val="2"/>
        <scheme val="minor"/>
      </rPr>
      <t xml:space="preserve"> bonus. This means if the custom Hand to Hand receives a +2 bonus to Strike at level 2 and a +1 and Level 13, then under the Strike heading Levels 2-12 should read "2" and Levels 13-15 should read "3". The Attacks per Melee listed above is a good example, as is the Sampe Weapon Proficiency further down.</t>
    </r>
  </si>
  <si>
    <t>Customization Page</t>
  </si>
  <si>
    <t>This Character Sheet includes a lot of information to make both Game Masters and Players lives' easier. However, it does not include everything. Some groups like to include content from other settings, such as Rifts or Ninjas &amp; Superspies, or include homebrewed classes and skills. Maybe some new content came out since this Character Sheet was last updated or maybe something was just missed. Regardless of the reasons, you may want to add more skills or O.C.C. options. Since the sheet automatically generates so much information for you, the below tables are designed to help you add new content. Simply fill in the empty cells with the appropriate information and the sheet will recognize the new content. Samples are provided to make things as easy as possible. Enjoy.</t>
  </si>
  <si>
    <t>RoF</t>
  </si>
  <si>
    <t>Custom_Skills</t>
  </si>
  <si>
    <t>Custom_OCC</t>
  </si>
  <si>
    <t>Disarm</t>
  </si>
  <si>
    <t>Synergy Bonuses</t>
  </si>
  <si>
    <t>W.P. Targeting</t>
  </si>
  <si>
    <t>Ranged Combat</t>
  </si>
  <si>
    <t>Ranged</t>
  </si>
  <si>
    <t>Primary Attack Type</t>
  </si>
  <si>
    <t>Melee</t>
  </si>
  <si>
    <t>Special Features #1</t>
  </si>
  <si>
    <t>Special Features #2</t>
  </si>
  <si>
    <t>Climb</t>
  </si>
  <si>
    <t>www.palladiumbooks.com</t>
  </si>
  <si>
    <t>For more information about Palladium's many role-playing games, see:</t>
  </si>
  <si>
    <t>www.prysus.com</t>
  </si>
  <si>
    <t>Layout and formulas by Travis S. Guerrero.</t>
  </si>
  <si>
    <t>1. Attribute bonuses above 30 are taken from Rifts Ultimate Edition, on page 284. These bonuses affect multiple cells. I also had to make a decision about the text regarding lifting/carrying 30% more for every 5 points over P.S. of 30. I had two interpretations, additive or exponential. As an example, P.S. 45 would receive the 30% bonus 3 times. I could either add 90% (30+30+30), or apply the 30% bonus three separate times (which would be 30^3). I decided on additive (90%, in the previous example).</t>
  </si>
  <si>
    <t>Thank you for the support.</t>
  </si>
  <si>
    <r>
      <t xml:space="preserve">To see more Palladium Fantasy inspired work by Travis S. Guerrero, see the </t>
    </r>
    <r>
      <rPr>
        <i/>
        <sz val="14"/>
        <color theme="1"/>
        <rFont val="Calibri"/>
        <family val="2"/>
        <scheme val="minor"/>
      </rPr>
      <t>Living the Fantasy</t>
    </r>
    <r>
      <rPr>
        <sz val="14"/>
        <color theme="1"/>
        <rFont val="Calibri"/>
        <family val="2"/>
        <scheme val="minor"/>
      </rPr>
      <t xml:space="preserve"> website:</t>
    </r>
  </si>
  <si>
    <t>No Damage</t>
  </si>
  <si>
    <t>Range Strike</t>
  </si>
  <si>
    <t>Range Damage</t>
  </si>
  <si>
    <t>Total Damage</t>
  </si>
  <si>
    <t>Melee/Range?</t>
  </si>
  <si>
    <t>Racial Hostility</t>
  </si>
  <si>
    <t>2. Worktable</t>
  </si>
  <si>
    <r>
      <rPr>
        <u/>
        <sz val="11"/>
        <color theme="1"/>
        <rFont val="Calibri"/>
        <family val="2"/>
        <scheme val="minor"/>
      </rPr>
      <t>Entering data:</t>
    </r>
    <r>
      <rPr>
        <sz val="11"/>
        <color theme="1"/>
        <rFont val="Calibri"/>
        <family val="2"/>
        <scheme val="minor"/>
      </rPr>
      <t xml:space="preserve"> There are several fields for the same value, such as Base Roll, Race Bonuses, Skill Bonuses, O.C.C. Bonuses, etc. This helps keep track of character progression. After a long campaign, it's easy to forget where all the bonuses came from. By keeping everything neatly tallied, it's a simple task to go back and take a look.</t>
    </r>
  </si>
  <si>
    <t>3. Skills Worktable</t>
  </si>
  <si>
    <t>Hand to Hand skills are not on the Skills list and are selected on the Worktable (above). However, Weapon Proficiencies (W.P.) need to be selected here if the Character Sheet is to recognize the appropriate bonuses.</t>
  </si>
  <si>
    <t>Next, select which level the skill was selected. As a character progresses, they pick up new skills. So if the character learns the skill at level 3, then the Level Selected should be changed to 3. The default is set to Level 1. O.C.C. bonuses and any other bonuses (such as Racial) must still be entered in manually.</t>
  </si>
  <si>
    <t>1. Character Sheet</t>
  </si>
  <si>
    <t>4. Magic &amp; Psionics</t>
  </si>
  <si>
    <t>5. Combat Sheet</t>
  </si>
  <si>
    <r>
      <t xml:space="preserve">Selecting Weapon Proficiencies here will display the bonuses. However, this is for </t>
    </r>
    <r>
      <rPr>
        <i/>
        <sz val="11"/>
        <color theme="1"/>
        <rFont val="Calibri"/>
        <family val="2"/>
        <scheme val="minor"/>
      </rPr>
      <t>display only</t>
    </r>
    <r>
      <rPr>
        <sz val="11"/>
        <color theme="1"/>
        <rFont val="Calibri"/>
        <family val="2"/>
        <scheme val="minor"/>
      </rPr>
      <t>. The W.P. must first be selected on the Skills Worktable. There's space for 5 W.P., equal to the number of Weapon slots.</t>
    </r>
  </si>
  <si>
    <t>Legal information regarding Copyright and Trademarks.</t>
  </si>
  <si>
    <t>After all the data entry is completed on the other sheets, return to this sheet. Total attributes, combat bonuses, skills, character level, and more will display here. Just fill out the information like character Name, Race, and a few other details to flesh the character out.</t>
  </si>
  <si>
    <t>In the Weapons section, there are options to select which W.P. a weapon uses in a Drop Down List. So, for example, entering in Claymore as the type of weapon, and W.P. Sword as the category. Damage die and damage modifiers are also Drop Down Lists. If the W.P. is known to the character, the Character Sheet will display the total bonuses (weapon bonuses, W.P. bonuses, hand to hand bonuses, attribute bonuses, etc.) in the Primary Weapons &amp; Armor section. Selecting which weapons (Main and Alternate) and armor display on the main Character Sheet is done through the buttons in the left column. Simply select which one should be displayed, and the program will take care of the rest.</t>
  </si>
  <si>
    <t>The second page of the Character Sheet focuses mainly on Equipment, Wealth, Companions or Riding Animals, and extra space for notes. There's also an area that includes gold separated by region and weight of equipment. Some groups love focusing on this kind of details, and some do not. Only use these features if it makes the game more enjoyable.</t>
  </si>
  <si>
    <t>The main sheet designed for use during game play. This sheet also requires the least amount of data entry during Character Creation. When first starting out, it's best to ignore this sheet and go straight to the Worktable and Skills Worktable. Then, after most of the character information is entered on the other sheets, return here to flesh out the character details.</t>
  </si>
  <si>
    <t>During Character Creation, this will be one of the most important worksheets. Think of this like a sheet of scratch paper when making a character. You write down initial Attribute rolls, then you get bonuses from O.C.C. and skills. So you erase the old numbers and write in new ones. But unlike a sheet of scratch paper, the Character Sheet will auto-calculate everything affected by those changes. Carry/Lift and Throw figures automatically adjust to the new P.S., when P.E. changes the character's Hit Points and fatigue rate also adjust. Skill bonuses are figured out without any extra work. Exceptional attributes are calculated without effort, and Hand to Hand, once selected, levels up combat bonuses without any need to keep track.</t>
  </si>
  <si>
    <t>Skill selection should take place here. First you must select the Skill Category, such as Communications or Physical. Then you select the actual Skill Name, such as Dance or Swimming. To make the Drop Down Lists easier to navigate, Language, Literacy, and Lore skills have been given separate categories. From there, the sheet will recognize the Base percentage, per level bonus, Attribute bonuses, and even bonuses gained from other skills. The skill name and total percentage will be displayed on the Character Sheet.</t>
  </si>
  <si>
    <t>Since not every character has Magic and/or Psionics, this was not placed on the main Character Sheet. However, this sheet will help keep track of all the Spells and Psionic powers a character may possess. For characters with only a couple Minor Psionics, simply using the Notes section on the Character Sheet may work better.</t>
  </si>
  <si>
    <t>Some people like to have all their combat stats in one place. This sheet gives a list of unarmed combat moves. The check boxes make it easy to select if the ability is known to the character. Damage will be displayed if known and even calculate for Supernatural Strength.</t>
  </si>
  <si>
    <t>While most of the information included in this sheet is taken directly from Palladium Fantasy Second Edition books, a few judgment calls had to be made, as well as taken from other Palladium settings such as Rifts. This sheet discusses which rules were used and their source whenever a judgment call was made.</t>
  </si>
  <si>
    <t>Most of the worksheets are protected with a simple password: PF2. This is to avoid accidental changes to the sheets and/or deleting a formula. However, for those who wish to further customize the Palladium Fantasy Character Sheet, then unlock the worksheets and make any necessary changes. Worksheets such as Legal Information have a stronger password to help protect copyrighted material. Thank you for your understanding.</t>
  </si>
  <si>
    <t>While the sheets main colors are green and brown, an important thing to note is that locked fields NOT designed for data entry are colored with a dull green. These fields take their information from a different section of the program.</t>
  </si>
  <si>
    <r>
      <rPr>
        <u/>
        <sz val="11"/>
        <color theme="1"/>
        <rFont val="Calibri"/>
        <family val="2"/>
        <scheme val="minor"/>
      </rPr>
      <t>Note:</t>
    </r>
    <r>
      <rPr>
        <sz val="11"/>
        <color theme="1"/>
        <rFont val="Calibri"/>
        <family val="2"/>
        <scheme val="minor"/>
      </rPr>
      <t xml:space="preserve"> Some skills have multiple base percentages, such as Horsemanship having a First and Second percentile. Lore: Magic is another example. Only the first, main percentile displays on the Character Sheet. If the others need to be referenced, please refer back to this sheet. Also keep in mind that while the Character Sheet will cap a skill at 98%, the Skills Worktable will allow a skill to go beyond 100%.</t>
    </r>
  </si>
  <si>
    <t>Hand to Hand is another Drop Down List, which includes every official Hand to Hand in the Palladium Fantasy setting (default is "None"); Strength type, in case the character is a Giant or Supernatural (default is "Normal"); and Alignments.</t>
  </si>
  <si>
    <r>
      <rPr>
        <u/>
        <sz val="11"/>
        <color theme="1"/>
        <rFont val="Calibri"/>
        <family val="2"/>
        <scheme val="minor"/>
      </rPr>
      <t>Note</t>
    </r>
    <r>
      <rPr>
        <sz val="11"/>
        <color theme="1"/>
        <rFont val="Calibri"/>
        <family val="2"/>
        <scheme val="minor"/>
      </rPr>
      <t xml:space="preserve">: </t>
    </r>
    <r>
      <rPr>
        <b/>
        <i/>
        <sz val="11"/>
        <color theme="1"/>
        <rFont val="Calibri"/>
        <family val="2"/>
        <scheme val="minor"/>
      </rPr>
      <t>Physical Skill bonuses, such as bonuses to P.S. and parry, must be entered manually</t>
    </r>
    <r>
      <rPr>
        <sz val="11"/>
        <color theme="1"/>
        <rFont val="Calibri"/>
        <family val="2"/>
        <scheme val="minor"/>
      </rPr>
      <t>. Many of the physical skills have random dice rolls. So to keep everything consistent, no physical bonuses have been factored into this sheet.</t>
    </r>
  </si>
  <si>
    <t>Meanwhile, fields that include a Drop Down List with data already included are colored in a dull yellow and the words typically in Bold. When a cell with a Drop Down List is selected, an arrow will appear on the right hand side. Recognizing these colors in the various worksheets should help create a more user friendly experience.</t>
  </si>
  <si>
    <r>
      <rPr>
        <u/>
        <sz val="11"/>
        <color theme="1"/>
        <rFont val="Calibri"/>
        <family val="2"/>
        <scheme val="minor"/>
      </rPr>
      <t>Drop Down Lists:</t>
    </r>
    <r>
      <rPr>
        <sz val="11"/>
        <color theme="1"/>
        <rFont val="Calibri"/>
        <family val="2"/>
        <scheme val="minor"/>
      </rPr>
      <t xml:space="preserve"> The Worktable features several Drop Down Lists to help make Character Creation easier, faster, and avoid possible typos that may confuse the program. Drop Down Lists include O.C.C. Category (such as Clergy, Men of Arms, etc.), then selecting the actual O.C.C. These lists contain nearly every official Palladium Fantasy O.C.C. Selecting a class will display that information on the main Character Sheet. This will also help the program recognize which Experience Point Table to use. </t>
    </r>
    <r>
      <rPr>
        <b/>
        <i/>
        <sz val="11"/>
        <color theme="1"/>
        <rFont val="Calibri"/>
        <family val="2"/>
        <scheme val="minor"/>
      </rPr>
      <t>O.C.C. Bonuses must be entered manually.</t>
    </r>
  </si>
  <si>
    <t>Even for those familiar with Excel, reading through these rules may help to quickly understand the layout of the sheet and where to enter in data. This should also prove useful to people unfamiliar with Excel.</t>
  </si>
  <si>
    <t>9. W.P. Axe addds +1D6 damage at level 2. This is difficult to incoporate with space considerations and the fact some Axes use a D4 (or even other die types). As a result, when displayed on the main Character Sheet page, this will be featured as simply an extra die of whatever damage type is used.</t>
  </si>
  <si>
    <t>10. Some Experience Charts are missing or unclear in the books. As a result, I had to make a few judgment calls. Book 8: Western Empire has the Imperial Jannisary &amp; Imperial Soldier. Both are using the same Experience Table as the Soldier O.C.C., due to the fact they're referred the O.C.C. is referred to as Soldier. Book: 9 Baalgor Wastelands has the Kkairojan Minotaurs. For this sheet, they use the same Experience Table as Disciple of the Old Ones O.C.C., since they're described as Minotaur Witches. Book 11: Eastern Territory has two racial Danzi Shaman O.C.C., and both use the same Experience Table as the standard Shaman O.C.C. in this program. Mysteries of Magic: The Heart of Magic has the Forsaken Mage. I decided on the Mystic O.C.C. after some feedback. The Half-Wizard O.C.C. was removed from this list, as it appears to use the Experience Table as the other O.C.C. selected. So, if selecting a Half-Wizard Mercenary, just select Mercenary for the O.C.C. as that'll be the Experience Table it uses. Alternately, you can always add it personally using the Custom O.C.C. section. Monsters &amp; Animals has the Dwarvling Buccaneer. As this is a Racial Class, and relies on shapechanging, I used the same Experience Table as the Goblin Cobbler (Druid).</t>
  </si>
  <si>
    <t>A lot of the information in this Character Sheet is automatically generated. This is great for quick Character Creation and avoiding simple math mistakes when leveling. However, it's not so great for making custom characters or including something from another Palladium setting. Maybe something was even missed or a new book came out with a fun new class or skill you want to incorporate. The Customize tab allows you to enter in new O.C.C. and the Experience Table to use, new Hand to Hand with bonuses per level, new Skills with Base percentage and per level bonuses, as well as new Weapon Proficiencies. This can help you make this Character Sheet truly your own.</t>
  </si>
  <si>
    <t>Special Feature #1</t>
  </si>
  <si>
    <t>Special Feature #2</t>
  </si>
  <si>
    <t>W.P. #1</t>
  </si>
  <si>
    <t>W.P. #2</t>
  </si>
  <si>
    <t>W.P. #3</t>
  </si>
  <si>
    <t>Feature</t>
  </si>
  <si>
    <t>Custom W.P. Special Features Lookup</t>
  </si>
  <si>
    <t>gold (gp), Mount Nimro Giants</t>
  </si>
  <si>
    <t>gold (gp), South-Winds ducats</t>
  </si>
  <si>
    <t>gold (gp), Timiro Sovereigns</t>
  </si>
  <si>
    <t>gold (gp), Orcish Empire Rakh</t>
  </si>
  <si>
    <t>gold (gp), Eastern Crowns</t>
  </si>
  <si>
    <t>gold (gp), Lopan/Phi Marque</t>
  </si>
  <si>
    <t>gold (gp), Bizantium Royale</t>
  </si>
  <si>
    <t>gold (gp), Old Kingdom coins</t>
  </si>
  <si>
    <t>gold (gp), Wolfen Legions</t>
  </si>
  <si>
    <t>gold pieces, total (all regions)</t>
  </si>
  <si>
    <t>gold (gp), Western Imperials</t>
  </si>
  <si>
    <t>6. Customize</t>
  </si>
  <si>
    <t>7. Legal Information</t>
  </si>
  <si>
    <t>8. Editor's Notes</t>
  </si>
  <si>
    <t>Measure</t>
  </si>
  <si>
    <t>ft</t>
  </si>
  <si>
    <t>m</t>
  </si>
  <si>
    <t>Measure List</t>
  </si>
  <si>
    <t>Character Sheet</t>
  </si>
  <si>
    <t>Interactive</t>
  </si>
  <si>
    <r>
      <t>Role-Playing Game</t>
    </r>
    <r>
      <rPr>
        <sz val="18"/>
        <color rgb="FFFF0000"/>
        <rFont val="Pamela"/>
      </rPr>
      <t>®</t>
    </r>
  </si>
  <si>
    <t>Palladium Fantasy</t>
  </si>
  <si>
    <t>Navigation Menu painting by Matthew Stawicki,</t>
  </si>
  <si>
    <t>and printed as the cover for</t>
  </si>
  <si>
    <t>Library of Bletherad.</t>
  </si>
  <si>
    <t>© Copyright 2018 Palladium Books, Inc, all rights reserved, worldwide. The Palladium Books Fantasy Role-Playing Game, Palladium Books® , Megaverse®, and other titles, names, characters, slogans, terms and text are Trademarks and/or Copyrights owned and Licensed by Palladium Books Inc. This Palladium Fantasy RPG character sheet is used with permission under a non-exclusive agreement. Designed for use with games Published by Palladium Books.</t>
  </si>
  <si>
    <t>© Palladium Books 2019</t>
  </si>
  <si>
    <t>9. Printer Friendly Pages</t>
  </si>
  <si>
    <t>10. Locked Worksheets Password</t>
  </si>
  <si>
    <t>These three pages include Printer Friendly versions of the Character Sheet, Magic &amp; Psionics, and Combat Sheet. The only colors used are black and white, with bold headings. Though not as visually impressive, these versions can save a lot of ink when printing out a character. All information from the Printer Friendly versions is taken directly from their full color versions (i.e. In order to change the Character's name, this will need to be edited on the main Character Sheet, item 1 in the above instructions, and the name will automaticaly change on the Printer Friendly version). This is designed to avoid the need to edit multiple sheets with the same information.</t>
  </si>
  <si>
    <r>
      <rPr>
        <u/>
        <sz val="11"/>
        <color theme="1"/>
        <rFont val="Calibri"/>
        <family val="2"/>
        <scheme val="minor"/>
      </rPr>
      <t>Locked Pages:</t>
    </r>
    <r>
      <rPr>
        <sz val="11"/>
        <color theme="1"/>
        <rFont val="Calibri"/>
        <family val="2"/>
        <scheme val="minor"/>
      </rPr>
      <t xml:space="preserve"> The Printer Friendly versions are all locked. Information from these pages are gathered from their full color versions (Items 1, 4, &amp; 5 in the above Instructions). This is designed to avoid the need to edit multiple sheets with the same information. </t>
    </r>
    <r>
      <rPr>
        <b/>
        <sz val="11"/>
        <color theme="1"/>
        <rFont val="Calibri"/>
        <family val="2"/>
        <scheme val="minor"/>
      </rPr>
      <t>Example:</t>
    </r>
    <r>
      <rPr>
        <sz val="11"/>
        <color theme="1"/>
        <rFont val="Calibri"/>
        <family val="2"/>
        <scheme val="minor"/>
      </rPr>
      <t xml:space="preserve"> To change the character's name on the Printer - Character Sheet (printer friendly version), the name should be changed on the main Character Sheet. The name will then be automatically updated on the Printer version.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</si>
</sst>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9" x14ac:knownFonts="1">
    <font>
      <sz val="11"/>
      <color theme="1"/>
      <name val="Calibri"/>
      <family val="2"/>
      <scheme val="minor"/>
    </font>
    <font>
      <b/>
      <sz val="11"/>
      <color theme="0"/>
      <name val="Calibri"/>
      <family val="2"/>
      <scheme val="minor"/>
    </font>
    <font>
      <sz val="10"/>
      <color theme="1"/>
      <name val="Calibri"/>
      <family val="2"/>
      <scheme val="minor"/>
    </font>
    <font>
      <sz val="10"/>
      <name val="Calibri"/>
      <family val="2"/>
      <scheme val="minor"/>
    </font>
    <font>
      <b/>
      <sz val="16"/>
      <color rgb="FFFF0000"/>
      <name val="Calibri"/>
      <family val="2"/>
      <scheme val="minor"/>
    </font>
    <font>
      <sz val="10"/>
      <color theme="0"/>
      <name val="Calibri"/>
      <family val="2"/>
      <scheme val="minor"/>
    </font>
    <font>
      <sz val="10"/>
      <color rgb="FFFF0000"/>
      <name val="Calibri"/>
      <family val="2"/>
      <scheme val="minor"/>
    </font>
    <font>
      <b/>
      <sz val="16"/>
      <color rgb="FFFF0000"/>
      <name val="Rockwell"/>
      <family val="1"/>
    </font>
    <font>
      <b/>
      <sz val="10"/>
      <color theme="0"/>
      <name val="Calibri"/>
      <family val="2"/>
      <scheme val="minor"/>
    </font>
    <font>
      <b/>
      <sz val="11"/>
      <color theme="1"/>
      <name val="Calibri"/>
      <family val="2"/>
      <scheme val="minor"/>
    </font>
    <font>
      <sz val="11"/>
      <color theme="0"/>
      <name val="Calibri"/>
      <family val="2"/>
      <scheme val="minor"/>
    </font>
    <font>
      <sz val="8"/>
      <name val="Calibri"/>
      <family val="2"/>
      <scheme val="minor"/>
    </font>
    <font>
      <b/>
      <sz val="11"/>
      <name val="Calibri"/>
      <family val="2"/>
      <scheme val="minor"/>
    </font>
    <font>
      <sz val="11"/>
      <name val="Calibri"/>
      <family val="2"/>
      <scheme val="minor"/>
    </font>
    <font>
      <sz val="7"/>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b/>
      <sz val="11"/>
      <color rgb="FFFA7D00"/>
      <name val="Calibri"/>
      <family val="2"/>
      <scheme val="minor"/>
    </font>
    <font>
      <sz val="12"/>
      <color theme="0"/>
      <name val="Times New Roman"/>
      <family val="1"/>
    </font>
    <font>
      <i/>
      <sz val="11"/>
      <color theme="1"/>
      <name val="Calibri"/>
      <family val="2"/>
      <scheme val="minor"/>
    </font>
    <font>
      <i/>
      <sz val="11"/>
      <color theme="0"/>
      <name val="Calibri"/>
      <family val="2"/>
      <scheme val="minor"/>
    </font>
    <font>
      <b/>
      <i/>
      <sz val="11"/>
      <color theme="0"/>
      <name val="Calibri"/>
      <family val="2"/>
      <scheme val="minor"/>
    </font>
    <font>
      <i/>
      <sz val="11"/>
      <name val="Calibri"/>
      <family val="2"/>
      <scheme val="minor"/>
    </font>
    <font>
      <b/>
      <sz val="14"/>
      <color theme="0"/>
      <name val="Calibri"/>
      <family val="2"/>
      <scheme val="minor"/>
    </font>
    <font>
      <sz val="12"/>
      <color rgb="FF212121"/>
      <name val="Arial"/>
      <family val="2"/>
    </font>
    <font>
      <u/>
      <sz val="11"/>
      <color theme="10"/>
      <name val="Calibri"/>
      <family val="2"/>
      <scheme val="minor"/>
    </font>
    <font>
      <sz val="14"/>
      <color theme="1"/>
      <name val="Calibri"/>
      <family val="2"/>
      <scheme val="minor"/>
    </font>
    <font>
      <u/>
      <sz val="14"/>
      <color theme="10"/>
      <name val="Calibri"/>
      <family val="2"/>
      <scheme val="minor"/>
    </font>
    <font>
      <i/>
      <sz val="14"/>
      <color theme="1"/>
      <name val="Calibri"/>
      <family val="2"/>
      <scheme val="minor"/>
    </font>
    <font>
      <u/>
      <sz val="11"/>
      <color theme="1"/>
      <name val="Calibri"/>
      <family val="2"/>
      <scheme val="minor"/>
    </font>
    <font>
      <b/>
      <i/>
      <sz val="11"/>
      <color theme="1"/>
      <name val="Calibri"/>
      <family val="2"/>
      <scheme val="minor"/>
    </font>
    <font>
      <sz val="8"/>
      <color theme="0"/>
      <name val="Calibri"/>
      <family val="2"/>
      <scheme val="minor"/>
    </font>
    <font>
      <b/>
      <sz val="12"/>
      <color theme="0"/>
      <name val="Calibri"/>
      <family val="2"/>
      <scheme val="minor"/>
    </font>
    <font>
      <b/>
      <sz val="16"/>
      <name val="Rockwell"/>
      <family val="1"/>
    </font>
    <font>
      <b/>
      <sz val="16"/>
      <name val="Calibri"/>
      <family val="2"/>
      <scheme val="minor"/>
    </font>
    <font>
      <b/>
      <sz val="10"/>
      <name val="Calibri"/>
      <family val="2"/>
      <scheme val="minor"/>
    </font>
    <font>
      <sz val="11"/>
      <color rgb="FFFF0000"/>
      <name val="Calibri"/>
      <family val="2"/>
      <scheme val="minor"/>
    </font>
    <font>
      <sz val="48"/>
      <color rgb="FFFF0000"/>
      <name val="Pamela"/>
    </font>
    <font>
      <sz val="66"/>
      <color rgb="FFFF0000"/>
      <name val="Pamela"/>
    </font>
    <font>
      <sz val="18"/>
      <color rgb="FFFF0000"/>
      <name val="Pamela"/>
    </font>
    <font>
      <sz val="28"/>
      <color rgb="FFFF0000"/>
      <name val="Pamela"/>
    </font>
    <font>
      <sz val="48"/>
      <color rgb="FFFF0000"/>
      <name val="Calibri"/>
      <family val="2"/>
    </font>
    <font>
      <b/>
      <sz val="7"/>
      <name val="Calibri"/>
      <family val="2"/>
      <scheme val="minor"/>
    </font>
    <font>
      <b/>
      <sz val="8"/>
      <name val="Calibri"/>
      <family val="2"/>
      <scheme val="minor"/>
    </font>
    <font>
      <b/>
      <sz val="9.25"/>
      <name val="Calibri"/>
      <family val="2"/>
      <scheme val="minor"/>
    </font>
    <font>
      <i/>
      <sz val="10"/>
      <name val="Calibri"/>
      <family val="2"/>
      <scheme val="minor"/>
    </font>
    <font>
      <sz val="14"/>
      <color rgb="FF212121"/>
      <name val="Calibri"/>
      <family val="2"/>
      <scheme val="minor"/>
    </font>
    <font>
      <b/>
      <sz val="13"/>
      <color rgb="FFFF0000"/>
      <name val="Calibri"/>
      <family val="2"/>
    </font>
  </fonts>
  <fills count="23">
    <fill>
      <patternFill patternType="none"/>
    </fill>
    <fill>
      <patternFill patternType="gray125"/>
    </fill>
    <fill>
      <patternFill patternType="solid">
        <fgColor theme="1"/>
        <bgColor indexed="64"/>
      </patternFill>
    </fill>
    <fill>
      <patternFill patternType="solid">
        <fgColor rgb="FF92D050"/>
        <bgColor indexed="64"/>
      </patternFill>
    </fill>
    <fill>
      <patternFill patternType="solid">
        <fgColor rgb="FFFF0000"/>
        <bgColor indexed="64"/>
      </patternFill>
    </fill>
    <fill>
      <patternFill patternType="solid">
        <fgColor theme="8" tint="0.39997558519241921"/>
        <bgColor indexed="64"/>
      </patternFill>
    </fill>
    <fill>
      <patternFill patternType="solid">
        <fgColor rgb="FF542708"/>
        <bgColor indexed="64"/>
      </patternFill>
    </fill>
    <fill>
      <patternFill patternType="solid">
        <fgColor theme="7" tint="0.59999389629810485"/>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7"/>
      </patternFill>
    </fill>
    <fill>
      <patternFill patternType="solid">
        <fgColor theme="8"/>
      </patternFill>
    </fill>
    <fill>
      <patternFill patternType="solid">
        <fgColor theme="9"/>
      </patternFill>
    </fill>
    <fill>
      <patternFill patternType="solid">
        <fgColor theme="9" tint="0.59999389629810485"/>
        <bgColor indexed="64"/>
      </patternFill>
    </fill>
    <fill>
      <patternFill patternType="solid">
        <fgColor theme="8" tint="0.59999389629810485"/>
        <bgColor indexed="64"/>
      </patternFill>
    </fill>
    <fill>
      <patternFill patternType="solid">
        <fgColor theme="5" tint="0.59999389629810485"/>
        <bgColor indexed="64"/>
      </patternFill>
    </fill>
    <fill>
      <patternFill patternType="solid">
        <fgColor rgb="FFFFFF99"/>
        <bgColor indexed="64"/>
      </patternFill>
    </fill>
    <fill>
      <patternFill patternType="solid">
        <fgColor theme="0" tint="-0.14999847407452621"/>
        <bgColor indexed="64"/>
      </patternFill>
    </fill>
  </fills>
  <borders count="8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top style="thin">
        <color indexed="64"/>
      </top>
      <bottom/>
      <diagonal/>
    </border>
    <border>
      <left style="medium">
        <color indexed="64"/>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top style="medium">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top/>
      <bottom style="thin">
        <color indexed="64"/>
      </bottom>
      <diagonal/>
    </border>
    <border>
      <left style="medium">
        <color indexed="64"/>
      </left>
      <right style="thin">
        <color indexed="64"/>
      </right>
      <top style="thin">
        <color indexed="64"/>
      </top>
      <bottom/>
      <diagonal/>
    </border>
    <border>
      <left style="thin">
        <color indexed="64"/>
      </left>
      <right/>
      <top style="medium">
        <color indexed="64"/>
      </top>
      <bottom style="medium">
        <color indexed="64"/>
      </bottom>
      <diagonal/>
    </border>
    <border>
      <left style="thin">
        <color indexed="64"/>
      </left>
      <right style="medium">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medium">
        <color indexed="64"/>
      </right>
      <top/>
      <bottom/>
      <diagonal/>
    </border>
    <border>
      <left style="thin">
        <color indexed="64"/>
      </left>
      <right/>
      <top/>
      <bottom style="medium">
        <color indexed="64"/>
      </bottom>
      <diagonal/>
    </border>
    <border>
      <left style="medium">
        <color indexed="64"/>
      </left>
      <right style="thin">
        <color indexed="64"/>
      </right>
      <top/>
      <bottom/>
      <diagonal/>
    </border>
    <border>
      <left/>
      <right style="thin">
        <color indexed="64"/>
      </right>
      <top/>
      <bottom/>
      <diagonal/>
    </border>
    <border>
      <left/>
      <right style="medium">
        <color indexed="64"/>
      </right>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right/>
      <top style="thin">
        <color indexed="64"/>
      </top>
      <bottom/>
      <diagonal/>
    </border>
    <border>
      <left style="thin">
        <color indexed="64"/>
      </left>
      <right style="medium">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style="medium">
        <color indexed="64"/>
      </right>
      <top/>
      <bottom style="thin">
        <color indexed="64"/>
      </bottom>
      <diagonal/>
    </border>
  </borders>
  <cellStyleXfs count="12">
    <xf numFmtId="0" fontId="0" fillId="0" borderId="0"/>
    <xf numFmtId="0" fontId="15" fillId="8" borderId="0" applyNumberFormat="0" applyBorder="0" applyAlignment="0" applyProtection="0"/>
    <xf numFmtId="0" fontId="16" fillId="9" borderId="0" applyNumberFormat="0" applyBorder="0" applyAlignment="0" applyProtection="0"/>
    <xf numFmtId="0" fontId="17" fillId="10" borderId="0" applyNumberFormat="0" applyBorder="0" applyAlignment="0" applyProtection="0"/>
    <xf numFmtId="0" fontId="18" fillId="11" borderId="68" applyNumberFormat="0" applyAlignment="0" applyProtection="0"/>
    <xf numFmtId="0" fontId="1" fillId="12" borderId="69" applyNumberFormat="0" applyAlignment="0" applyProtection="0"/>
    <xf numFmtId="0" fontId="10" fillId="13"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10" fillId="16" borderId="0" applyNumberFormat="0" applyBorder="0" applyAlignment="0" applyProtection="0"/>
    <xf numFmtId="0" fontId="10" fillId="17" borderId="0" applyNumberFormat="0" applyBorder="0" applyAlignment="0" applyProtection="0"/>
    <xf numFmtId="0" fontId="26" fillId="0" borderId="0" applyNumberFormat="0" applyFill="0" applyBorder="0" applyAlignment="0" applyProtection="0"/>
  </cellStyleXfs>
  <cellXfs count="1461">
    <xf numFmtId="0" fontId="0" fillId="0" borderId="0" xfId="0"/>
    <xf numFmtId="0" fontId="2" fillId="0" borderId="0" xfId="0" applyFont="1"/>
    <xf numFmtId="0" fontId="2" fillId="0" borderId="0" xfId="0" applyFont="1" applyAlignment="1">
      <alignment horizontal="left"/>
    </xf>
    <xf numFmtId="0" fontId="0" fillId="2" borderId="1" xfId="0" applyFill="1" applyBorder="1"/>
    <xf numFmtId="0" fontId="2" fillId="2" borderId="1" xfId="0" applyFont="1" applyFill="1" applyBorder="1"/>
    <xf numFmtId="0" fontId="2" fillId="3" borderId="9" xfId="0" applyFont="1" applyFill="1" applyBorder="1"/>
    <xf numFmtId="0" fontId="2" fillId="3" borderId="11" xfId="0" applyFont="1" applyFill="1" applyBorder="1"/>
    <xf numFmtId="0" fontId="2" fillId="3" borderId="17" xfId="0" applyFont="1" applyFill="1" applyBorder="1"/>
    <xf numFmtId="0" fontId="2" fillId="2" borderId="14" xfId="0" applyFont="1" applyFill="1" applyBorder="1"/>
    <xf numFmtId="0" fontId="0" fillId="2" borderId="6" xfId="0" applyFill="1" applyBorder="1"/>
    <xf numFmtId="0" fontId="2" fillId="3" borderId="9" xfId="0" applyFont="1" applyFill="1" applyBorder="1" applyAlignment="1">
      <alignment horizontal="left" vertical="center" wrapText="1"/>
    </xf>
    <xf numFmtId="0" fontId="2" fillId="3" borderId="8" xfId="0" applyFont="1" applyFill="1" applyBorder="1" applyAlignment="1">
      <alignment horizontal="center"/>
    </xf>
    <xf numFmtId="0" fontId="2" fillId="0" borderId="0" xfId="0" applyFont="1" applyAlignment="1">
      <alignment horizontal="center"/>
    </xf>
    <xf numFmtId="0" fontId="2" fillId="3" borderId="51" xfId="0" applyFont="1" applyFill="1" applyBorder="1"/>
    <xf numFmtId="0" fontId="2" fillId="3" borderId="52" xfId="0" applyFont="1" applyFill="1" applyBorder="1"/>
    <xf numFmtId="0" fontId="2" fillId="3" borderId="60" xfId="0" applyFont="1" applyFill="1" applyBorder="1"/>
    <xf numFmtId="0" fontId="5" fillId="0" borderId="0" xfId="0" applyFont="1" applyAlignment="1">
      <alignment horizontal="center"/>
    </xf>
    <xf numFmtId="0" fontId="5" fillId="6" borderId="23" xfId="0" applyFont="1" applyFill="1" applyBorder="1" applyAlignment="1">
      <alignment horizontal="center" vertical="center" wrapText="1"/>
    </xf>
    <xf numFmtId="0" fontId="3" fillId="3" borderId="9" xfId="0" applyFont="1" applyFill="1" applyBorder="1" applyAlignment="1">
      <alignment horizontal="left" vertical="center"/>
    </xf>
    <xf numFmtId="0" fontId="2" fillId="0" borderId="2" xfId="0" applyFont="1" applyBorder="1" applyAlignment="1" applyProtection="1">
      <alignment horizontal="right"/>
      <protection locked="0"/>
    </xf>
    <xf numFmtId="0" fontId="2" fillId="0" borderId="26" xfId="0" applyFont="1" applyBorder="1" applyAlignment="1" applyProtection="1">
      <alignment horizontal="right"/>
      <protection locked="0"/>
    </xf>
    <xf numFmtId="0" fontId="2" fillId="0" borderId="32" xfId="0" applyFont="1" applyBorder="1" applyAlignment="1" applyProtection="1">
      <alignment horizontal="right"/>
      <protection locked="0"/>
    </xf>
    <xf numFmtId="0" fontId="2" fillId="0" borderId="15" xfId="0" applyFont="1" applyBorder="1" applyAlignment="1" applyProtection="1">
      <alignment horizontal="right"/>
      <protection locked="0"/>
    </xf>
    <xf numFmtId="0" fontId="2" fillId="0" borderId="6" xfId="0" applyFont="1" applyBorder="1" applyAlignment="1" applyProtection="1">
      <alignment horizontal="center"/>
      <protection locked="0"/>
    </xf>
    <xf numFmtId="0" fontId="2" fillId="0" borderId="44" xfId="0" applyFont="1" applyBorder="1" applyAlignment="1" applyProtection="1">
      <alignment horizontal="right"/>
      <protection locked="0"/>
    </xf>
    <xf numFmtId="0" fontId="2" fillId="0" borderId="20" xfId="0" applyFont="1" applyBorder="1" applyProtection="1">
      <protection locked="0"/>
    </xf>
    <xf numFmtId="0" fontId="2" fillId="0" borderId="1" xfId="0" applyFont="1" applyBorder="1" applyProtection="1">
      <protection locked="0"/>
    </xf>
    <xf numFmtId="0" fontId="2" fillId="0" borderId="14" xfId="0" applyFont="1" applyBorder="1" applyProtection="1">
      <protection locked="0"/>
    </xf>
    <xf numFmtId="0" fontId="0" fillId="0" borderId="20" xfId="0" applyBorder="1" applyProtection="1">
      <protection locked="0"/>
    </xf>
    <xf numFmtId="0" fontId="0" fillId="0" borderId="1" xfId="0" applyBorder="1" applyProtection="1">
      <protection locked="0"/>
    </xf>
    <xf numFmtId="0" fontId="0" fillId="0" borderId="6" xfId="0" applyBorder="1" applyProtection="1">
      <protection locked="0"/>
    </xf>
    <xf numFmtId="0" fontId="0" fillId="0" borderId="52" xfId="0" applyBorder="1" applyProtection="1">
      <protection locked="0"/>
    </xf>
    <xf numFmtId="0" fontId="2" fillId="0" borderId="1" xfId="0" applyFont="1" applyBorder="1" applyAlignment="1" applyProtection="1">
      <alignment horizontal="left"/>
      <protection locked="0"/>
    </xf>
    <xf numFmtId="0" fontId="2" fillId="0" borderId="10" xfId="0" applyFont="1" applyBorder="1" applyAlignment="1" applyProtection="1">
      <alignment horizontal="left"/>
      <protection locked="0"/>
    </xf>
    <xf numFmtId="0" fontId="2" fillId="0" borderId="1" xfId="0" applyFont="1" applyBorder="1" applyAlignment="1" applyProtection="1">
      <alignment horizontal="center"/>
      <protection locked="0"/>
    </xf>
    <xf numFmtId="0" fontId="2" fillId="3" borderId="13" xfId="0" applyFont="1" applyFill="1" applyBorder="1" applyAlignment="1">
      <alignment horizontal="center"/>
    </xf>
    <xf numFmtId="0" fontId="2" fillId="3" borderId="17" xfId="0" applyFont="1" applyFill="1" applyBorder="1" applyAlignment="1">
      <alignment horizontal="left"/>
    </xf>
    <xf numFmtId="0" fontId="2" fillId="3" borderId="9" xfId="0" applyFont="1" applyFill="1" applyBorder="1" applyAlignment="1">
      <alignment horizontal="left"/>
    </xf>
    <xf numFmtId="0" fontId="2" fillId="3" borderId="9" xfId="0" applyFont="1" applyFill="1" applyBorder="1" applyAlignment="1">
      <alignment horizontal="center"/>
    </xf>
    <xf numFmtId="0" fontId="2" fillId="3" borderId="1" xfId="0" applyFont="1" applyFill="1" applyBorder="1" applyAlignment="1">
      <alignment horizontal="center"/>
    </xf>
    <xf numFmtId="0" fontId="2" fillId="3" borderId="7" xfId="0" applyFont="1" applyFill="1" applyBorder="1"/>
    <xf numFmtId="0" fontId="2" fillId="3" borderId="13" xfId="0" applyFont="1" applyFill="1" applyBorder="1"/>
    <xf numFmtId="0" fontId="2" fillId="0" borderId="10" xfId="0" applyFont="1" applyBorder="1" applyAlignment="1" applyProtection="1">
      <alignment horizontal="right"/>
      <protection locked="0"/>
    </xf>
    <xf numFmtId="0" fontId="4" fillId="0" borderId="0" xfId="0" applyFont="1" applyAlignment="1">
      <alignment horizontal="center"/>
    </xf>
    <xf numFmtId="0" fontId="5" fillId="6" borderId="21" xfId="0" applyFont="1" applyFill="1" applyBorder="1" applyAlignment="1">
      <alignment horizontal="center" vertical="center"/>
    </xf>
    <xf numFmtId="0" fontId="2" fillId="3" borderId="11" xfId="0" applyFont="1" applyFill="1" applyBorder="1" applyAlignment="1">
      <alignment horizontal="left"/>
    </xf>
    <xf numFmtId="0" fontId="5" fillId="6" borderId="22" xfId="0" applyFont="1" applyFill="1" applyBorder="1" applyAlignment="1">
      <alignment horizontal="center" vertical="center" wrapText="1"/>
    </xf>
    <xf numFmtId="0" fontId="2" fillId="3" borderId="7" xfId="0" applyFont="1" applyFill="1" applyBorder="1" applyAlignment="1">
      <alignment horizontal="left"/>
    </xf>
    <xf numFmtId="0" fontId="13" fillId="0" borderId="0" xfId="0" applyFont="1"/>
    <xf numFmtId="0" fontId="2" fillId="3" borderId="13" xfId="0" applyFont="1" applyFill="1" applyBorder="1" applyAlignment="1">
      <alignment vertical="center"/>
    </xf>
    <xf numFmtId="0" fontId="2" fillId="0" borderId="1" xfId="0" applyFont="1" applyBorder="1" applyAlignment="1" applyProtection="1">
      <alignment horizontal="left" vertical="center"/>
      <protection locked="0"/>
    </xf>
    <xf numFmtId="0" fontId="2" fillId="0" borderId="10"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14" xfId="0" applyFont="1" applyBorder="1" applyAlignment="1" applyProtection="1">
      <alignment horizontal="left" vertical="center"/>
      <protection locked="0"/>
    </xf>
    <xf numFmtId="0" fontId="2" fillId="0" borderId="12" xfId="0" applyFont="1" applyBorder="1" applyAlignment="1" applyProtection="1">
      <alignment horizontal="left" vertical="center"/>
      <protection locked="0"/>
    </xf>
    <xf numFmtId="0" fontId="14" fillId="7" borderId="21" xfId="0" applyFont="1" applyFill="1" applyBorder="1" applyAlignment="1">
      <alignment horizontal="center" vertical="center"/>
    </xf>
    <xf numFmtId="0" fontId="14" fillId="7" borderId="22" xfId="0" applyFont="1" applyFill="1" applyBorder="1" applyAlignment="1">
      <alignment horizontal="center" vertical="center"/>
    </xf>
    <xf numFmtId="0" fontId="2" fillId="3" borderId="38" xfId="0" applyFont="1" applyFill="1" applyBorder="1" applyAlignment="1">
      <alignment horizontal="center" vertical="center"/>
    </xf>
    <xf numFmtId="0" fontId="2" fillId="3" borderId="40" xfId="0" applyFont="1" applyFill="1" applyBorder="1" applyAlignment="1">
      <alignment vertical="center"/>
    </xf>
    <xf numFmtId="0" fontId="2" fillId="3" borderId="38" xfId="0" applyFont="1" applyFill="1" applyBorder="1" applyAlignment="1">
      <alignment vertical="center"/>
    </xf>
    <xf numFmtId="0" fontId="2" fillId="3" borderId="22" xfId="0" applyFont="1" applyFill="1" applyBorder="1" applyAlignment="1">
      <alignment horizontal="left" vertical="center"/>
    </xf>
    <xf numFmtId="0" fontId="2" fillId="0" borderId="13" xfId="0" applyFont="1" applyBorder="1" applyAlignment="1" applyProtection="1">
      <alignment horizontal="left"/>
      <protection locked="0"/>
    </xf>
    <xf numFmtId="0" fontId="2" fillId="0" borderId="8" xfId="0" applyFont="1" applyBorder="1" applyAlignment="1" applyProtection="1">
      <alignment horizontal="left"/>
      <protection locked="0"/>
    </xf>
    <xf numFmtId="0" fontId="2" fillId="3" borderId="47" xfId="0" applyFont="1" applyFill="1" applyBorder="1" applyAlignment="1">
      <alignment horizontal="left" vertical="center"/>
    </xf>
    <xf numFmtId="0" fontId="2" fillId="3" borderId="53" xfId="0" applyFont="1" applyFill="1" applyBorder="1" applyAlignment="1">
      <alignment horizontal="left" vertical="center"/>
    </xf>
    <xf numFmtId="0" fontId="2" fillId="0" borderId="1" xfId="0" applyFont="1" applyBorder="1" applyAlignment="1" applyProtection="1">
      <alignment vertical="center"/>
      <protection locked="0"/>
    </xf>
    <xf numFmtId="0" fontId="2" fillId="0" borderId="10" xfId="0" applyFont="1" applyBorder="1" applyAlignment="1" applyProtection="1">
      <alignment vertical="center"/>
      <protection locked="0"/>
    </xf>
    <xf numFmtId="0" fontId="2" fillId="0" borderId="22" xfId="0" applyFont="1" applyBorder="1" applyAlignment="1" applyProtection="1">
      <alignment horizontal="left" vertical="center"/>
      <protection locked="0"/>
    </xf>
    <xf numFmtId="0" fontId="2" fillId="3" borderId="14" xfId="0" applyFont="1" applyFill="1" applyBorder="1" applyAlignment="1">
      <alignment horizontal="left"/>
    </xf>
    <xf numFmtId="0" fontId="2" fillId="3" borderId="20" xfId="0" applyFont="1" applyFill="1" applyBorder="1" applyAlignment="1">
      <alignment horizontal="left"/>
    </xf>
    <xf numFmtId="0" fontId="2" fillId="3" borderId="4" xfId="0" applyFont="1" applyFill="1" applyBorder="1" applyAlignment="1">
      <alignment horizontal="left"/>
    </xf>
    <xf numFmtId="0" fontId="2" fillId="3" borderId="1" xfId="0" applyFont="1" applyFill="1" applyBorder="1" applyAlignment="1">
      <alignment horizontal="left"/>
    </xf>
    <xf numFmtId="0" fontId="5" fillId="0" borderId="0" xfId="0" applyFont="1" applyAlignment="1">
      <alignment horizontal="left"/>
    </xf>
    <xf numFmtId="0" fontId="0" fillId="0" borderId="19" xfId="0" applyBorder="1" applyProtection="1">
      <protection locked="0"/>
    </xf>
    <xf numFmtId="0" fontId="2" fillId="18" borderId="18" xfId="0" applyFont="1" applyFill="1" applyBorder="1" applyAlignment="1">
      <alignment horizontal="left"/>
    </xf>
    <xf numFmtId="0" fontId="2" fillId="18" borderId="10" xfId="0" applyFont="1" applyFill="1" applyBorder="1" applyAlignment="1">
      <alignment horizontal="left"/>
    </xf>
    <xf numFmtId="0" fontId="2" fillId="18" borderId="12" xfId="0" applyFont="1" applyFill="1" applyBorder="1" applyAlignment="1">
      <alignment horizontal="left"/>
    </xf>
    <xf numFmtId="0" fontId="2" fillId="18" borderId="1" xfId="0" applyFont="1" applyFill="1" applyBorder="1" applyAlignment="1">
      <alignment horizontal="left"/>
    </xf>
    <xf numFmtId="0" fontId="2" fillId="18" borderId="43" xfId="0" applyFont="1" applyFill="1" applyBorder="1"/>
    <xf numFmtId="0" fontId="2" fillId="18" borderId="10" xfId="0" applyFont="1" applyFill="1" applyBorder="1"/>
    <xf numFmtId="0" fontId="2" fillId="18" borderId="12" xfId="0" applyFont="1" applyFill="1" applyBorder="1"/>
    <xf numFmtId="0" fontId="2" fillId="18" borderId="40" xfId="0" applyFont="1" applyFill="1" applyBorder="1"/>
    <xf numFmtId="0" fontId="2" fillId="18" borderId="8" xfId="0" applyFont="1" applyFill="1" applyBorder="1"/>
    <xf numFmtId="0" fontId="2" fillId="18" borderId="12" xfId="0" applyFont="1" applyFill="1" applyBorder="1" applyAlignment="1">
      <alignment horizontal="right"/>
    </xf>
    <xf numFmtId="0" fontId="2" fillId="18" borderId="44" xfId="0" applyFont="1" applyFill="1" applyBorder="1"/>
    <xf numFmtId="0" fontId="2" fillId="18" borderId="8" xfId="0" applyFont="1" applyFill="1" applyBorder="1" applyAlignment="1">
      <alignment horizontal="right"/>
    </xf>
    <xf numFmtId="0" fontId="2" fillId="18" borderId="20" xfId="0" applyFont="1" applyFill="1" applyBorder="1"/>
    <xf numFmtId="0" fontId="2" fillId="18" borderId="1" xfId="0" applyFont="1" applyFill="1" applyBorder="1"/>
    <xf numFmtId="0" fontId="2" fillId="18" borderId="14" xfId="0" applyFont="1" applyFill="1" applyBorder="1"/>
    <xf numFmtId="0" fontId="2" fillId="18" borderId="18" xfId="0" applyFont="1" applyFill="1" applyBorder="1"/>
    <xf numFmtId="0" fontId="2" fillId="18" borderId="6" xfId="0" applyFont="1" applyFill="1" applyBorder="1" applyAlignment="1">
      <alignment horizontal="right"/>
    </xf>
    <xf numFmtId="0" fontId="2" fillId="18" borderId="14" xfId="0" applyFont="1" applyFill="1" applyBorder="1" applyAlignment="1">
      <alignment horizontal="right"/>
    </xf>
    <xf numFmtId="0" fontId="2" fillId="18" borderId="1" xfId="0" applyFont="1" applyFill="1" applyBorder="1" applyAlignment="1">
      <alignment horizontal="right"/>
    </xf>
    <xf numFmtId="0" fontId="2" fillId="18" borderId="44" xfId="0" applyFont="1" applyFill="1" applyBorder="1" applyAlignment="1">
      <alignment horizontal="right"/>
    </xf>
    <xf numFmtId="0" fontId="2" fillId="18" borderId="4" xfId="0" applyFont="1" applyFill="1" applyBorder="1" applyAlignment="1">
      <alignment horizontal="left"/>
    </xf>
    <xf numFmtId="0" fontId="2" fillId="18" borderId="14" xfId="0" applyFont="1" applyFill="1" applyBorder="1" applyAlignment="1">
      <alignment horizontal="left"/>
    </xf>
    <xf numFmtId="0" fontId="2" fillId="18" borderId="22" xfId="0" applyFont="1" applyFill="1" applyBorder="1" applyAlignment="1">
      <alignment horizontal="center"/>
    </xf>
    <xf numFmtId="0" fontId="2" fillId="18" borderId="23" xfId="0" applyFont="1" applyFill="1" applyBorder="1"/>
    <xf numFmtId="0" fontId="0" fillId="3" borderId="47" xfId="0" applyFill="1" applyBorder="1" applyAlignment="1">
      <alignment horizontal="center" vertical="center"/>
    </xf>
    <xf numFmtId="0" fontId="0" fillId="0" borderId="64" xfId="0" applyBorder="1" applyProtection="1">
      <protection locked="0"/>
    </xf>
    <xf numFmtId="0" fontId="0" fillId="18" borderId="1" xfId="0" applyFill="1" applyBorder="1"/>
    <xf numFmtId="0" fontId="2" fillId="18" borderId="8" xfId="0" applyFont="1" applyFill="1" applyBorder="1" applyAlignment="1">
      <alignment horizontal="left"/>
    </xf>
    <xf numFmtId="0" fontId="2" fillId="18" borderId="19" xfId="0" applyFont="1" applyFill="1" applyBorder="1"/>
    <xf numFmtId="0" fontId="2" fillId="18" borderId="2" xfId="0" applyFont="1" applyFill="1" applyBorder="1"/>
    <xf numFmtId="0" fontId="2" fillId="18" borderId="15" xfId="0" applyFont="1" applyFill="1" applyBorder="1"/>
    <xf numFmtId="0" fontId="0" fillId="18" borderId="18" xfId="0" applyFill="1" applyBorder="1"/>
    <xf numFmtId="0" fontId="0" fillId="18" borderId="10" xfId="0" applyFill="1" applyBorder="1"/>
    <xf numFmtId="0" fontId="0" fillId="18" borderId="44" xfId="0" applyFill="1" applyBorder="1"/>
    <xf numFmtId="0" fontId="0" fillId="18" borderId="20" xfId="0" applyFill="1" applyBorder="1"/>
    <xf numFmtId="0" fontId="2" fillId="18" borderId="48" xfId="0" applyFont="1" applyFill="1" applyBorder="1"/>
    <xf numFmtId="0" fontId="0" fillId="18" borderId="52" xfId="0" applyFill="1" applyBorder="1"/>
    <xf numFmtId="0" fontId="2" fillId="18" borderId="52" xfId="0" applyFont="1" applyFill="1" applyBorder="1" applyAlignment="1">
      <alignment horizontal="right"/>
    </xf>
    <xf numFmtId="0" fontId="2" fillId="18" borderId="48" xfId="0" applyFont="1" applyFill="1" applyBorder="1" applyAlignment="1">
      <alignment horizontal="right"/>
    </xf>
    <xf numFmtId="0" fontId="2" fillId="18" borderId="20" xfId="0" applyFont="1" applyFill="1" applyBorder="1" applyAlignment="1">
      <alignment vertical="center"/>
    </xf>
    <xf numFmtId="0" fontId="2" fillId="18" borderId="14" xfId="0" applyFont="1" applyFill="1" applyBorder="1" applyAlignment="1">
      <alignment vertical="center"/>
    </xf>
    <xf numFmtId="0" fontId="2" fillId="18" borderId="18" xfId="0" applyFont="1" applyFill="1" applyBorder="1" applyAlignment="1">
      <alignment vertical="center"/>
    </xf>
    <xf numFmtId="0" fontId="2" fillId="18" borderId="12" xfId="0" applyFont="1" applyFill="1" applyBorder="1" applyAlignment="1">
      <alignment vertical="center"/>
    </xf>
    <xf numFmtId="0" fontId="2" fillId="18" borderId="10" xfId="0" applyFont="1" applyFill="1" applyBorder="1" applyAlignment="1">
      <alignment horizontal="left" vertical="center"/>
    </xf>
    <xf numFmtId="0" fontId="2" fillId="18" borderId="48" xfId="0" applyFont="1" applyFill="1" applyBorder="1" applyAlignment="1">
      <alignment horizontal="left" vertical="center"/>
    </xf>
    <xf numFmtId="0" fontId="0" fillId="18" borderId="44" xfId="0" applyFill="1" applyBorder="1" applyAlignment="1">
      <alignment vertical="center"/>
    </xf>
    <xf numFmtId="0" fontId="2" fillId="18" borderId="6" xfId="0" applyFont="1" applyFill="1" applyBorder="1" applyAlignment="1">
      <alignment vertical="center"/>
    </xf>
    <xf numFmtId="0" fontId="0" fillId="0" borderId="0" xfId="0" applyAlignment="1">
      <alignment vertical="center"/>
    </xf>
    <xf numFmtId="0" fontId="0" fillId="3" borderId="1" xfId="0" applyFill="1" applyBorder="1" applyAlignment="1">
      <alignment horizontal="center"/>
    </xf>
    <xf numFmtId="0" fontId="10" fillId="6" borderId="22" xfId="0" applyFont="1" applyFill="1" applyBorder="1" applyAlignment="1">
      <alignment horizontal="center"/>
    </xf>
    <xf numFmtId="0" fontId="0" fillId="3" borderId="22" xfId="0" applyFill="1" applyBorder="1" applyAlignment="1">
      <alignment horizontal="center" wrapText="1"/>
    </xf>
    <xf numFmtId="0" fontId="0" fillId="3" borderId="23" xfId="0" applyFill="1" applyBorder="1" applyAlignment="1">
      <alignment horizontal="center" wrapText="1"/>
    </xf>
    <xf numFmtId="0" fontId="0" fillId="3" borderId="36" xfId="0" applyFill="1" applyBorder="1" applyAlignment="1">
      <alignment horizontal="center" wrapText="1"/>
    </xf>
    <xf numFmtId="0" fontId="19" fillId="6" borderId="36" xfId="0" applyFont="1" applyFill="1" applyBorder="1" applyAlignment="1">
      <alignment horizontal="center"/>
    </xf>
    <xf numFmtId="0" fontId="19" fillId="6" borderId="70" xfId="0" applyFont="1" applyFill="1" applyBorder="1" applyAlignment="1">
      <alignment horizontal="center"/>
    </xf>
    <xf numFmtId="0" fontId="2" fillId="18" borderId="40" xfId="0" applyFont="1" applyFill="1" applyBorder="1" applyAlignment="1">
      <alignment horizontal="right"/>
    </xf>
    <xf numFmtId="0" fontId="2" fillId="3" borderId="38" xfId="0" applyFont="1" applyFill="1" applyBorder="1" applyAlignment="1">
      <alignment horizontal="left"/>
    </xf>
    <xf numFmtId="0" fontId="2" fillId="3" borderId="13" xfId="0" applyFont="1" applyFill="1" applyBorder="1" applyAlignment="1">
      <alignment horizontal="left"/>
    </xf>
    <xf numFmtId="0" fontId="10" fillId="6" borderId="21" xfId="0" applyFont="1" applyFill="1" applyBorder="1" applyAlignment="1">
      <alignment horizontal="center"/>
    </xf>
    <xf numFmtId="0" fontId="10" fillId="6" borderId="23" xfId="0" applyFont="1" applyFill="1" applyBorder="1" applyAlignment="1">
      <alignment horizontal="center"/>
    </xf>
    <xf numFmtId="0" fontId="2" fillId="2" borderId="13" xfId="0" applyFont="1" applyFill="1" applyBorder="1"/>
    <xf numFmtId="0" fontId="2" fillId="0" borderId="13" xfId="0" applyFont="1" applyBorder="1" applyProtection="1">
      <protection locked="0"/>
    </xf>
    <xf numFmtId="0" fontId="2" fillId="18" borderId="13" xfId="0" applyFont="1" applyFill="1" applyBorder="1"/>
    <xf numFmtId="0" fontId="0" fillId="3" borderId="17" xfId="0" applyFill="1" applyBorder="1" applyAlignment="1">
      <alignment horizontal="center"/>
    </xf>
    <xf numFmtId="0" fontId="0" fillId="3" borderId="18" xfId="0" applyFill="1" applyBorder="1" applyAlignment="1">
      <alignment horizontal="center"/>
    </xf>
    <xf numFmtId="0" fontId="0" fillId="18" borderId="9" xfId="0" applyFill="1" applyBorder="1" applyAlignment="1">
      <alignment horizontal="center" vertical="center"/>
    </xf>
    <xf numFmtId="0" fontId="0" fillId="18" borderId="10" xfId="0" applyFill="1" applyBorder="1" applyAlignment="1">
      <alignment horizontal="center"/>
    </xf>
    <xf numFmtId="0" fontId="0" fillId="18" borderId="11" xfId="0" applyFill="1" applyBorder="1" applyAlignment="1">
      <alignment horizontal="center" vertical="center"/>
    </xf>
    <xf numFmtId="0" fontId="0" fillId="18" borderId="12" xfId="0" applyFill="1" applyBorder="1" applyAlignment="1">
      <alignment horizontal="center"/>
    </xf>
    <xf numFmtId="0" fontId="0" fillId="18" borderId="23" xfId="0" applyFill="1" applyBorder="1"/>
    <xf numFmtId="0" fontId="13" fillId="0" borderId="1" xfId="0" applyFont="1" applyBorder="1" applyProtection="1">
      <protection locked="0"/>
    </xf>
    <xf numFmtId="0" fontId="2" fillId="18" borderId="17" xfId="0" applyFont="1" applyFill="1" applyBorder="1"/>
    <xf numFmtId="0" fontId="2" fillId="18" borderId="18" xfId="0" quotePrefix="1" applyFont="1" applyFill="1" applyBorder="1"/>
    <xf numFmtId="0" fontId="2" fillId="18" borderId="9" xfId="0" applyFont="1" applyFill="1" applyBorder="1"/>
    <xf numFmtId="0" fontId="2" fillId="18" borderId="11" xfId="0" applyFont="1" applyFill="1" applyBorder="1"/>
    <xf numFmtId="0" fontId="2" fillId="18" borderId="12" xfId="0" applyFont="1" applyFill="1" applyBorder="1" applyAlignment="1">
      <alignment horizontal="left" vertical="center"/>
    </xf>
    <xf numFmtId="0" fontId="0" fillId="20" borderId="20" xfId="0" applyFill="1" applyBorder="1"/>
    <xf numFmtId="0" fontId="0" fillId="20" borderId="52" xfId="0" applyFill="1" applyBorder="1"/>
    <xf numFmtId="0" fontId="0" fillId="3" borderId="17" xfId="0" applyFill="1" applyBorder="1" applyAlignment="1">
      <alignment horizontal="left"/>
    </xf>
    <xf numFmtId="0" fontId="0" fillId="3" borderId="9" xfId="0" applyFill="1" applyBorder="1" applyAlignment="1">
      <alignment horizontal="left"/>
    </xf>
    <xf numFmtId="0" fontId="2" fillId="18" borderId="49" xfId="0" applyFont="1" applyFill="1" applyBorder="1"/>
    <xf numFmtId="0" fontId="2" fillId="18" borderId="13" xfId="0" applyFont="1" applyFill="1" applyBorder="1" applyAlignment="1">
      <alignment horizontal="right"/>
    </xf>
    <xf numFmtId="0" fontId="0" fillId="0" borderId="0" xfId="0" applyAlignment="1">
      <alignment vertical="center" wrapText="1"/>
    </xf>
    <xf numFmtId="0" fontId="2" fillId="18" borderId="10" xfId="0" quotePrefix="1" applyFont="1" applyFill="1" applyBorder="1"/>
    <xf numFmtId="0" fontId="2" fillId="0" borderId="10" xfId="0" applyFont="1" applyBorder="1" applyProtection="1">
      <protection locked="0"/>
    </xf>
    <xf numFmtId="0" fontId="2" fillId="0" borderId="12" xfId="0" applyFont="1" applyBorder="1" applyProtection="1">
      <protection locked="0"/>
    </xf>
    <xf numFmtId="0" fontId="13" fillId="3" borderId="9" xfId="0" applyFont="1" applyFill="1" applyBorder="1" applyAlignment="1">
      <alignment horizontal="left"/>
    </xf>
    <xf numFmtId="0" fontId="13" fillId="3" borderId="17" xfId="0" applyFont="1" applyFill="1" applyBorder="1" applyAlignment="1">
      <alignment horizontal="left"/>
    </xf>
    <xf numFmtId="0" fontId="0" fillId="3" borderId="28" xfId="0" applyFill="1" applyBorder="1" applyAlignment="1">
      <alignment horizontal="center"/>
    </xf>
    <xf numFmtId="0" fontId="0" fillId="18" borderId="3" xfId="0" applyFill="1" applyBorder="1" applyAlignment="1">
      <alignment horizontal="center" vertical="center"/>
    </xf>
    <xf numFmtId="0" fontId="0" fillId="0" borderId="3" xfId="0" applyBorder="1" applyAlignment="1" applyProtection="1">
      <alignment horizontal="center" vertical="center"/>
      <protection locked="0"/>
    </xf>
    <xf numFmtId="0" fontId="0" fillId="0" borderId="33" xfId="0" applyBorder="1" applyAlignment="1" applyProtection="1">
      <alignment horizontal="center" vertical="center"/>
      <protection locked="0"/>
    </xf>
    <xf numFmtId="0" fontId="13" fillId="0" borderId="20" xfId="0" applyFont="1" applyBorder="1" applyProtection="1">
      <protection locked="0"/>
    </xf>
    <xf numFmtId="0" fontId="13" fillId="0" borderId="20" xfId="0" applyFont="1" applyBorder="1" applyAlignment="1" applyProtection="1">
      <alignment horizontal="right"/>
      <protection locked="0"/>
    </xf>
    <xf numFmtId="0" fontId="13" fillId="0" borderId="18" xfId="0" applyFont="1" applyBorder="1" applyAlignment="1" applyProtection="1">
      <alignment horizontal="right"/>
      <protection locked="0"/>
    </xf>
    <xf numFmtId="0" fontId="13" fillId="0" borderId="1" xfId="0" applyFont="1" applyBorder="1" applyAlignment="1" applyProtection="1">
      <alignment horizontal="right"/>
      <protection locked="0"/>
    </xf>
    <xf numFmtId="0" fontId="13" fillId="0" borderId="10" xfId="0" applyFont="1" applyBorder="1" applyAlignment="1" applyProtection="1">
      <alignment horizontal="right"/>
      <protection locked="0"/>
    </xf>
    <xf numFmtId="0" fontId="13" fillId="3" borderId="20" xfId="6" applyFont="1" applyFill="1" applyBorder="1" applyAlignment="1">
      <alignment horizontal="center" vertical="center"/>
    </xf>
    <xf numFmtId="0" fontId="13" fillId="3" borderId="18" xfId="6" applyFont="1" applyFill="1" applyBorder="1" applyAlignment="1">
      <alignment horizontal="center" vertical="center"/>
    </xf>
    <xf numFmtId="0" fontId="0" fillId="3" borderId="11" xfId="0" applyFill="1" applyBorder="1" applyAlignment="1">
      <alignment horizontal="left"/>
    </xf>
    <xf numFmtId="0" fontId="10" fillId="6" borderId="51" xfId="6" applyFill="1" applyBorder="1" applyAlignment="1">
      <alignment horizontal="center" vertical="center"/>
    </xf>
    <xf numFmtId="0" fontId="10" fillId="6" borderId="52" xfId="0" applyFont="1" applyFill="1" applyBorder="1" applyAlignment="1">
      <alignment horizontal="center"/>
    </xf>
    <xf numFmtId="0" fontId="10" fillId="6" borderId="48" xfId="0" applyFont="1" applyFill="1" applyBorder="1" applyAlignment="1">
      <alignment horizontal="center"/>
    </xf>
    <xf numFmtId="0" fontId="20" fillId="18" borderId="10" xfId="0" applyFont="1" applyFill="1" applyBorder="1" applyAlignment="1">
      <alignment horizontal="center"/>
    </xf>
    <xf numFmtId="0" fontId="20" fillId="18" borderId="12" xfId="0" applyFont="1" applyFill="1" applyBorder="1" applyAlignment="1">
      <alignment horizontal="center"/>
    </xf>
    <xf numFmtId="0" fontId="20" fillId="7" borderId="1" xfId="0" applyFont="1" applyFill="1" applyBorder="1"/>
    <xf numFmtId="0" fontId="20" fillId="7" borderId="10" xfId="0" applyFont="1" applyFill="1" applyBorder="1"/>
    <xf numFmtId="0" fontId="21" fillId="6" borderId="51" xfId="6" applyFont="1" applyFill="1" applyBorder="1" applyAlignment="1">
      <alignment horizontal="center" vertical="center"/>
    </xf>
    <xf numFmtId="0" fontId="21" fillId="6" borderId="52" xfId="0" applyFont="1" applyFill="1" applyBorder="1" applyAlignment="1">
      <alignment horizontal="center"/>
    </xf>
    <xf numFmtId="0" fontId="21" fillId="6" borderId="48" xfId="0" applyFont="1" applyFill="1" applyBorder="1" applyAlignment="1">
      <alignment horizontal="center"/>
    </xf>
    <xf numFmtId="0" fontId="20" fillId="3" borderId="17" xfId="0" applyFont="1" applyFill="1" applyBorder="1" applyAlignment="1">
      <alignment horizontal="left"/>
    </xf>
    <xf numFmtId="0" fontId="20" fillId="3" borderId="9" xfId="0" applyFont="1" applyFill="1" applyBorder="1" applyAlignment="1">
      <alignment horizontal="left"/>
    </xf>
    <xf numFmtId="0" fontId="23" fillId="7" borderId="1" xfId="0" applyFont="1" applyFill="1" applyBorder="1"/>
    <xf numFmtId="0" fontId="20" fillId="7" borderId="20" xfId="0" applyFont="1" applyFill="1" applyBorder="1"/>
    <xf numFmtId="0" fontId="20" fillId="7" borderId="18" xfId="0" applyFont="1" applyFill="1" applyBorder="1"/>
    <xf numFmtId="0" fontId="20" fillId="7" borderId="14" xfId="0" applyFont="1" applyFill="1" applyBorder="1"/>
    <xf numFmtId="0" fontId="20" fillId="7" borderId="12" xfId="0" applyFont="1" applyFill="1" applyBorder="1"/>
    <xf numFmtId="0" fontId="23" fillId="3" borderId="20" xfId="6" applyFont="1" applyFill="1" applyBorder="1" applyAlignment="1">
      <alignment horizontal="center" vertical="center"/>
    </xf>
    <xf numFmtId="0" fontId="23" fillId="3" borderId="18" xfId="6" applyFont="1" applyFill="1" applyBorder="1" applyAlignment="1">
      <alignment horizontal="center" vertical="center"/>
    </xf>
    <xf numFmtId="0" fontId="20" fillId="3" borderId="7" xfId="0" applyFont="1" applyFill="1" applyBorder="1" applyAlignment="1">
      <alignment horizontal="center"/>
    </xf>
    <xf numFmtId="0" fontId="20" fillId="3" borderId="8" xfId="0" applyFont="1" applyFill="1" applyBorder="1" applyAlignment="1">
      <alignment horizontal="center"/>
    </xf>
    <xf numFmtId="0" fontId="20" fillId="18" borderId="9" xfId="0" applyFont="1" applyFill="1" applyBorder="1" applyAlignment="1">
      <alignment horizontal="center" vertical="center"/>
    </xf>
    <xf numFmtId="0" fontId="20" fillId="7" borderId="9" xfId="0" applyFont="1" applyFill="1" applyBorder="1"/>
    <xf numFmtId="0" fontId="20" fillId="7" borderId="11" xfId="0" applyFont="1" applyFill="1" applyBorder="1"/>
    <xf numFmtId="0" fontId="10" fillId="0" borderId="0" xfId="0" applyFont="1"/>
    <xf numFmtId="0" fontId="0" fillId="3" borderId="7" xfId="0" applyFill="1" applyBorder="1" applyAlignment="1">
      <alignment horizontal="left"/>
    </xf>
    <xf numFmtId="0" fontId="10" fillId="6" borderId="21" xfId="6" applyFill="1" applyBorder="1" applyAlignment="1">
      <alignment horizontal="center" vertical="center"/>
    </xf>
    <xf numFmtId="0" fontId="0" fillId="0" borderId="10" xfId="0" applyBorder="1" applyProtection="1">
      <protection locked="0"/>
    </xf>
    <xf numFmtId="0" fontId="0" fillId="0" borderId="14" xfId="0" applyBorder="1" applyProtection="1">
      <protection locked="0"/>
    </xf>
    <xf numFmtId="0" fontId="0" fillId="0" borderId="12" xfId="0" applyBorder="1" applyProtection="1">
      <protection locked="0"/>
    </xf>
    <xf numFmtId="0" fontId="0" fillId="0" borderId="13" xfId="0" applyBorder="1" applyProtection="1">
      <protection locked="0"/>
    </xf>
    <xf numFmtId="0" fontId="0" fillId="0" borderId="8" xfId="0" applyBorder="1" applyProtection="1">
      <protection locked="0"/>
    </xf>
    <xf numFmtId="0" fontId="0" fillId="0" borderId="18" xfId="0" applyBorder="1" applyProtection="1">
      <protection locked="0"/>
    </xf>
    <xf numFmtId="0" fontId="0" fillId="0" borderId="48" xfId="0" applyBorder="1" applyProtection="1">
      <protection locked="0"/>
    </xf>
    <xf numFmtId="0" fontId="0" fillId="18" borderId="12" xfId="0" applyFill="1" applyBorder="1" applyAlignment="1">
      <alignment horizontal="left" vertical="center"/>
    </xf>
    <xf numFmtId="0" fontId="10" fillId="0" borderId="0" xfId="0" applyFont="1" applyAlignment="1">
      <alignment horizontal="center"/>
    </xf>
    <xf numFmtId="0" fontId="2" fillId="0" borderId="20" xfId="0" applyFont="1" applyBorder="1" applyAlignment="1" applyProtection="1">
      <alignment horizontal="left" vertical="center"/>
      <protection locked="0"/>
    </xf>
    <xf numFmtId="0" fontId="2" fillId="0" borderId="18" xfId="0" applyFont="1" applyBorder="1" applyAlignment="1" applyProtection="1">
      <alignment horizontal="left" vertical="center"/>
      <protection locked="0"/>
    </xf>
    <xf numFmtId="0" fontId="0" fillId="3" borderId="21" xfId="0" applyFill="1" applyBorder="1" applyAlignment="1">
      <alignment horizontal="center" vertical="center"/>
    </xf>
    <xf numFmtId="0" fontId="9" fillId="21" borderId="20" xfId="0" applyFont="1" applyFill="1" applyBorder="1" applyProtection="1">
      <protection locked="0"/>
    </xf>
    <xf numFmtId="0" fontId="9" fillId="21" borderId="52" xfId="0" applyFont="1" applyFill="1" applyBorder="1" applyProtection="1">
      <protection locked="0"/>
    </xf>
    <xf numFmtId="0" fontId="0" fillId="19" borderId="17" xfId="0" applyFill="1" applyBorder="1"/>
    <xf numFmtId="0" fontId="0" fillId="19" borderId="51" xfId="0" applyFill="1" applyBorder="1"/>
    <xf numFmtId="0" fontId="0" fillId="7" borderId="20" xfId="0" applyFill="1" applyBorder="1"/>
    <xf numFmtId="0" fontId="0" fillId="7" borderId="52" xfId="0" applyFill="1" applyBorder="1"/>
    <xf numFmtId="0" fontId="0" fillId="20" borderId="18" xfId="0" applyFill="1" applyBorder="1"/>
    <xf numFmtId="0" fontId="0" fillId="20" borderId="48" xfId="0" applyFill="1" applyBorder="1"/>
    <xf numFmtId="0" fontId="2" fillId="21" borderId="65" xfId="0" applyFont="1" applyFill="1" applyBorder="1" applyAlignment="1" applyProtection="1">
      <alignment vertical="center"/>
      <protection locked="0"/>
    </xf>
    <xf numFmtId="0" fontId="2" fillId="21" borderId="4" xfId="0" applyFont="1" applyFill="1" applyBorder="1" applyAlignment="1" applyProtection="1">
      <alignment vertical="center"/>
      <protection locked="0"/>
    </xf>
    <xf numFmtId="0" fontId="2" fillId="21" borderId="65" xfId="0" applyFont="1" applyFill="1" applyBorder="1" applyAlignment="1">
      <alignment vertical="center"/>
    </xf>
    <xf numFmtId="0" fontId="2" fillId="21" borderId="4" xfId="0" applyFont="1" applyFill="1" applyBorder="1" applyAlignment="1">
      <alignment vertical="center"/>
    </xf>
    <xf numFmtId="0" fontId="0" fillId="21" borderId="65" xfId="0" applyFill="1" applyBorder="1" applyAlignment="1" applyProtection="1">
      <alignment vertical="center"/>
      <protection locked="0"/>
    </xf>
    <xf numFmtId="0" fontId="0" fillId="21" borderId="65" xfId="0" applyFill="1" applyBorder="1" applyAlignment="1">
      <alignment vertical="center"/>
    </xf>
    <xf numFmtId="0" fontId="0" fillId="21" borderId="51" xfId="0" applyFill="1" applyBorder="1" applyAlignment="1">
      <alignment vertical="center"/>
    </xf>
    <xf numFmtId="0" fontId="2" fillId="21" borderId="64" xfId="0" applyFont="1" applyFill="1" applyBorder="1" applyAlignment="1">
      <alignment vertical="center"/>
    </xf>
    <xf numFmtId="0" fontId="2" fillId="21" borderId="55" xfId="0" applyFont="1" applyFill="1" applyBorder="1" applyAlignment="1" applyProtection="1">
      <alignment vertical="center"/>
      <protection locked="0"/>
    </xf>
    <xf numFmtId="0" fontId="2" fillId="21" borderId="55" xfId="0" applyFont="1" applyFill="1" applyBorder="1" applyAlignment="1">
      <alignment vertical="center"/>
    </xf>
    <xf numFmtId="0" fontId="2" fillId="21" borderId="57" xfId="0" applyFont="1" applyFill="1" applyBorder="1" applyAlignment="1" applyProtection="1">
      <alignment vertical="center"/>
      <protection locked="0"/>
    </xf>
    <xf numFmtId="0" fontId="13" fillId="21" borderId="23" xfId="0" applyFont="1" applyFill="1" applyBorder="1" applyProtection="1">
      <protection locked="0"/>
    </xf>
    <xf numFmtId="0" fontId="0" fillId="18" borderId="14" xfId="0" applyFill="1" applyBorder="1"/>
    <xf numFmtId="0" fontId="2" fillId="3" borderId="1" xfId="0" applyFont="1" applyFill="1" applyBorder="1" applyAlignment="1">
      <alignment vertical="center"/>
    </xf>
    <xf numFmtId="0" fontId="2" fillId="3" borderId="14" xfId="0" applyFont="1" applyFill="1" applyBorder="1" applyAlignment="1">
      <alignment vertical="center"/>
    </xf>
    <xf numFmtId="0" fontId="2" fillId="18" borderId="1" xfId="0" applyFont="1" applyFill="1" applyBorder="1" applyAlignment="1">
      <alignment horizontal="left" vertical="center"/>
    </xf>
    <xf numFmtId="0" fontId="2" fillId="18" borderId="14" xfId="0" applyFont="1" applyFill="1" applyBorder="1" applyAlignment="1">
      <alignment horizontal="left" vertical="center"/>
    </xf>
    <xf numFmtId="0" fontId="2" fillId="3" borderId="20" xfId="0" applyFont="1" applyFill="1" applyBorder="1" applyAlignment="1">
      <alignment vertical="center"/>
    </xf>
    <xf numFmtId="0" fontId="2" fillId="18" borderId="18" xfId="0" applyFont="1" applyFill="1" applyBorder="1" applyAlignment="1">
      <alignment horizontal="left" vertical="center"/>
    </xf>
    <xf numFmtId="0" fontId="27" fillId="0" borderId="0" xfId="0" applyFont="1"/>
    <xf numFmtId="0" fontId="0" fillId="0" borderId="55" xfId="0" applyBorder="1"/>
    <xf numFmtId="0" fontId="0" fillId="0" borderId="56" xfId="0" applyBorder="1"/>
    <xf numFmtId="0" fontId="25" fillId="0" borderId="55" xfId="0" applyFont="1" applyBorder="1" applyAlignment="1">
      <alignment horizontal="center" wrapText="1"/>
    </xf>
    <xf numFmtId="0" fontId="0" fillId="0" borderId="56" xfId="0" applyBorder="1" applyAlignment="1">
      <alignment horizontal="center"/>
    </xf>
    <xf numFmtId="0" fontId="0" fillId="0" borderId="55" xfId="0" applyBorder="1" applyAlignment="1">
      <alignment horizontal="center"/>
    </xf>
    <xf numFmtId="0" fontId="0" fillId="0" borderId="57" xfId="0" applyBorder="1"/>
    <xf numFmtId="0" fontId="0" fillId="0" borderId="58" xfId="0" applyBorder="1"/>
    <xf numFmtId="0" fontId="0" fillId="0" borderId="59" xfId="0" applyBorder="1"/>
    <xf numFmtId="0" fontId="2" fillId="0" borderId="52" xfId="0" applyFont="1" applyBorder="1" applyAlignment="1" applyProtection="1">
      <alignment horizontal="right"/>
      <protection locked="0"/>
    </xf>
    <xf numFmtId="0" fontId="10" fillId="6" borderId="1" xfId="0" applyFont="1" applyFill="1" applyBorder="1"/>
    <xf numFmtId="0" fontId="0" fillId="0" borderId="0" xfId="0" applyAlignment="1">
      <alignment wrapText="1"/>
    </xf>
    <xf numFmtId="0" fontId="0" fillId="18" borderId="63" xfId="0" applyFill="1" applyBorder="1" applyAlignment="1">
      <alignment vertical="center" wrapText="1"/>
    </xf>
    <xf numFmtId="0" fontId="24" fillId="6" borderId="70" xfId="0" applyFont="1" applyFill="1" applyBorder="1" applyAlignment="1">
      <alignment horizontal="center" vertical="center"/>
    </xf>
    <xf numFmtId="0" fontId="0" fillId="0" borderId="63" xfId="0" applyBorder="1" applyAlignment="1">
      <alignment vertical="center"/>
    </xf>
    <xf numFmtId="0" fontId="0" fillId="0" borderId="63" xfId="0" applyBorder="1" applyAlignment="1">
      <alignment vertical="center" wrapText="1"/>
    </xf>
    <xf numFmtId="0" fontId="0" fillId="21" borderId="71" xfId="0" applyFill="1" applyBorder="1" applyAlignment="1">
      <alignment vertical="center" wrapText="1"/>
    </xf>
    <xf numFmtId="0" fontId="9" fillId="7" borderId="72" xfId="0" applyFont="1" applyFill="1" applyBorder="1" applyAlignment="1">
      <alignment vertical="center" wrapText="1"/>
    </xf>
    <xf numFmtId="0" fontId="0" fillId="7" borderId="63" xfId="0" applyFill="1" applyBorder="1" applyAlignment="1">
      <alignment vertical="center" wrapText="1"/>
    </xf>
    <xf numFmtId="0" fontId="0" fillId="7" borderId="71" xfId="0" applyFill="1" applyBorder="1" applyAlignment="1">
      <alignment vertical="center" wrapText="1"/>
    </xf>
    <xf numFmtId="0" fontId="9" fillId="3" borderId="72" xfId="0" applyFont="1" applyFill="1" applyBorder="1" applyAlignment="1">
      <alignment vertical="center"/>
    </xf>
    <xf numFmtId="0" fontId="0" fillId="3" borderId="63" xfId="0" applyFill="1" applyBorder="1" applyAlignment="1">
      <alignment vertical="center" wrapText="1"/>
    </xf>
    <xf numFmtId="0" fontId="0" fillId="3" borderId="71" xfId="0" applyFill="1" applyBorder="1" applyAlignment="1">
      <alignment vertical="center" wrapText="1"/>
    </xf>
    <xf numFmtId="0" fontId="9" fillId="3" borderId="72" xfId="0" applyFont="1" applyFill="1" applyBorder="1" applyAlignment="1">
      <alignment vertical="center" wrapText="1"/>
    </xf>
    <xf numFmtId="0" fontId="9" fillId="7" borderId="72" xfId="0" applyFont="1" applyFill="1" applyBorder="1" applyAlignment="1">
      <alignment vertical="center"/>
    </xf>
    <xf numFmtId="0" fontId="9" fillId="21" borderId="72" xfId="0" applyFont="1" applyFill="1" applyBorder="1" applyAlignment="1">
      <alignment vertical="center" wrapText="1"/>
    </xf>
    <xf numFmtId="0" fontId="9" fillId="19" borderId="72" xfId="0" applyFont="1" applyFill="1" applyBorder="1" applyAlignment="1">
      <alignment vertical="center"/>
    </xf>
    <xf numFmtId="0" fontId="0" fillId="19" borderId="71" xfId="0" applyFill="1" applyBorder="1" applyAlignment="1">
      <alignment vertical="center" wrapText="1"/>
    </xf>
    <xf numFmtId="0" fontId="9" fillId="20" borderId="72" xfId="0" applyFont="1" applyFill="1" applyBorder="1" applyAlignment="1">
      <alignment vertical="center"/>
    </xf>
    <xf numFmtId="0" fontId="0" fillId="20" borderId="71" xfId="0" applyFill="1" applyBorder="1" applyAlignment="1">
      <alignment vertical="center" wrapText="1"/>
    </xf>
    <xf numFmtId="0" fontId="13" fillId="0" borderId="63" xfId="0" applyFont="1" applyBorder="1" applyAlignment="1">
      <alignment vertical="center" wrapText="1"/>
    </xf>
    <xf numFmtId="0" fontId="0" fillId="0" borderId="63" xfId="0" applyBorder="1" applyAlignment="1">
      <alignment horizontal="left" vertical="center" wrapText="1"/>
    </xf>
    <xf numFmtId="0" fontId="1" fillId="6" borderId="70" xfId="0" applyFont="1" applyFill="1" applyBorder="1" applyAlignment="1">
      <alignment horizontal="center" vertical="center"/>
    </xf>
    <xf numFmtId="0" fontId="1" fillId="0" borderId="63" xfId="0" applyFont="1" applyBorder="1" applyAlignment="1">
      <alignment horizontal="center" vertical="center"/>
    </xf>
    <xf numFmtId="0" fontId="0" fillId="0" borderId="71" xfId="0" applyBorder="1" applyAlignment="1">
      <alignment vertical="center"/>
    </xf>
    <xf numFmtId="0" fontId="20" fillId="3" borderId="46" xfId="0" applyFont="1" applyFill="1" applyBorder="1" applyAlignment="1">
      <alignment horizontal="left"/>
    </xf>
    <xf numFmtId="0" fontId="23" fillId="7" borderId="6" xfId="0" applyFont="1" applyFill="1" applyBorder="1"/>
    <xf numFmtId="0" fontId="20" fillId="7" borderId="6" xfId="0" applyFont="1" applyFill="1" applyBorder="1"/>
    <xf numFmtId="0" fontId="20" fillId="7" borderId="44" xfId="0" applyFont="1" applyFill="1" applyBorder="1"/>
    <xf numFmtId="0" fontId="0" fillId="7" borderId="35" xfId="0" applyFill="1" applyBorder="1"/>
    <xf numFmtId="0" fontId="0" fillId="7" borderId="36" xfId="0" applyFill="1" applyBorder="1"/>
    <xf numFmtId="0" fontId="0" fillId="7" borderId="58" xfId="0" applyFill="1" applyBorder="1"/>
    <xf numFmtId="0" fontId="0" fillId="7" borderId="59" xfId="0" applyFill="1" applyBorder="1"/>
    <xf numFmtId="0" fontId="0" fillId="21" borderId="35" xfId="0" applyFill="1" applyBorder="1" applyProtection="1">
      <protection locked="0"/>
    </xf>
    <xf numFmtId="0" fontId="0" fillId="21" borderId="36" xfId="0" applyFill="1" applyBorder="1" applyProtection="1">
      <protection locked="0"/>
    </xf>
    <xf numFmtId="0" fontId="0" fillId="21" borderId="58" xfId="0" applyFill="1" applyBorder="1" applyProtection="1">
      <protection locked="0"/>
    </xf>
    <xf numFmtId="0" fontId="0" fillId="21" borderId="59" xfId="0" applyFill="1" applyBorder="1" applyProtection="1">
      <protection locked="0"/>
    </xf>
    <xf numFmtId="0" fontId="10" fillId="6" borderId="21" xfId="0" applyFont="1" applyFill="1" applyBorder="1"/>
    <xf numFmtId="0" fontId="10" fillId="6" borderId="22" xfId="0" applyFont="1" applyFill="1" applyBorder="1"/>
    <xf numFmtId="0" fontId="10" fillId="6" borderId="23" xfId="0" applyFont="1" applyFill="1" applyBorder="1"/>
    <xf numFmtId="0" fontId="10" fillId="6" borderId="9" xfId="0" applyFont="1" applyFill="1" applyBorder="1"/>
    <xf numFmtId="0" fontId="2" fillId="0" borderId="1" xfId="0" applyFont="1" applyBorder="1" applyAlignment="1" applyProtection="1">
      <alignment horizontal="right" shrinkToFit="1"/>
      <protection locked="0"/>
    </xf>
    <xf numFmtId="0" fontId="2" fillId="0" borderId="6" xfId="0" applyFont="1" applyBorder="1" applyAlignment="1" applyProtection="1">
      <alignment horizontal="right" shrinkToFit="1"/>
      <protection locked="0"/>
    </xf>
    <xf numFmtId="0" fontId="2" fillId="18" borderId="22" xfId="0" applyFont="1" applyFill="1" applyBorder="1" applyAlignment="1">
      <alignment shrinkToFit="1"/>
    </xf>
    <xf numFmtId="0" fontId="2" fillId="18" borderId="10" xfId="0" applyFont="1" applyFill="1" applyBorder="1" applyAlignment="1">
      <alignment horizontal="right" shrinkToFit="1"/>
    </xf>
    <xf numFmtId="0" fontId="2" fillId="18" borderId="12" xfId="0" applyFont="1" applyFill="1" applyBorder="1" applyAlignment="1">
      <alignment horizontal="right" shrinkToFit="1"/>
    </xf>
    <xf numFmtId="0" fontId="5" fillId="6" borderId="22" xfId="0" applyFont="1" applyFill="1" applyBorder="1" applyAlignment="1">
      <alignment horizontal="center" vertical="center"/>
    </xf>
    <xf numFmtId="0" fontId="10" fillId="6" borderId="1" xfId="0" applyFont="1" applyFill="1" applyBorder="1" applyAlignment="1">
      <alignment horizontal="center"/>
    </xf>
    <xf numFmtId="0" fontId="10" fillId="6" borderId="53" xfId="0" applyFont="1" applyFill="1" applyBorder="1" applyAlignment="1">
      <alignment horizontal="center"/>
    </xf>
    <xf numFmtId="0" fontId="2" fillId="3" borderId="28" xfId="0" applyFont="1" applyFill="1" applyBorder="1" applyAlignment="1">
      <alignment horizontal="left" shrinkToFit="1"/>
    </xf>
    <xf numFmtId="0" fontId="2" fillId="3" borderId="3" xfId="0" applyFont="1" applyFill="1" applyBorder="1" applyAlignment="1">
      <alignment horizontal="left" shrinkToFit="1"/>
    </xf>
    <xf numFmtId="0" fontId="10" fillId="17" borderId="21" xfId="10" applyBorder="1" applyAlignment="1">
      <alignment horizontal="center" vertical="center"/>
    </xf>
    <xf numFmtId="0" fontId="10" fillId="17" borderId="22" xfId="10" applyBorder="1" applyAlignment="1">
      <alignment horizontal="center" vertical="center"/>
    </xf>
    <xf numFmtId="0" fontId="10" fillId="17" borderId="23" xfId="10" applyBorder="1" applyAlignment="1">
      <alignment horizontal="center" vertical="center"/>
    </xf>
    <xf numFmtId="0" fontId="10" fillId="13" borderId="33" xfId="6" applyBorder="1" applyAlignment="1">
      <alignment horizontal="center" vertical="center"/>
    </xf>
    <xf numFmtId="0" fontId="10" fillId="13" borderId="14" xfId="6" applyBorder="1" applyAlignment="1">
      <alignment horizontal="center" vertical="center"/>
    </xf>
    <xf numFmtId="0" fontId="10" fillId="13" borderId="12" xfId="6" applyBorder="1" applyAlignment="1">
      <alignment horizontal="center" vertical="center"/>
    </xf>
    <xf numFmtId="0" fontId="10" fillId="14" borderId="33" xfId="7" applyBorder="1" applyAlignment="1">
      <alignment horizontal="center" vertical="center"/>
    </xf>
    <xf numFmtId="0" fontId="10" fillId="14" borderId="14" xfId="7" applyBorder="1" applyAlignment="1">
      <alignment horizontal="center" vertical="center"/>
    </xf>
    <xf numFmtId="0" fontId="10" fillId="14" borderId="12" xfId="7" applyBorder="1" applyAlignment="1">
      <alignment horizontal="center" vertical="center"/>
    </xf>
    <xf numFmtId="0" fontId="10" fillId="16" borderId="33" xfId="9" applyBorder="1" applyAlignment="1">
      <alignment horizontal="center" vertical="center"/>
    </xf>
    <xf numFmtId="0" fontId="10" fillId="16" borderId="14" xfId="9" applyBorder="1" applyAlignment="1">
      <alignment horizontal="center" vertical="center"/>
    </xf>
    <xf numFmtId="0" fontId="10" fillId="16" borderId="12" xfId="9" applyBorder="1" applyAlignment="1">
      <alignment horizontal="center" vertical="center"/>
    </xf>
    <xf numFmtId="0" fontId="10" fillId="15" borderId="33" xfId="8" applyBorder="1" applyAlignment="1">
      <alignment horizontal="center" vertical="center"/>
    </xf>
    <xf numFmtId="0" fontId="10" fillId="15" borderId="14" xfId="8" applyBorder="1" applyAlignment="1">
      <alignment horizontal="center" vertical="center"/>
    </xf>
    <xf numFmtId="0" fontId="10" fillId="15" borderId="12" xfId="8" applyBorder="1" applyAlignment="1">
      <alignment horizontal="center" vertical="center"/>
    </xf>
    <xf numFmtId="0" fontId="10" fillId="17" borderId="1" xfId="10" applyBorder="1" applyAlignment="1">
      <alignment horizontal="center"/>
    </xf>
    <xf numFmtId="0" fontId="10" fillId="13" borderId="1" xfId="6" applyBorder="1"/>
    <xf numFmtId="0" fontId="19" fillId="0" borderId="19" xfId="0" applyFont="1" applyBorder="1" applyProtection="1">
      <protection locked="0"/>
    </xf>
    <xf numFmtId="0" fontId="19" fillId="0" borderId="18" xfId="0" applyFont="1" applyBorder="1" applyProtection="1">
      <protection locked="0"/>
    </xf>
    <xf numFmtId="0" fontId="10" fillId="0" borderId="28" xfId="0" applyFont="1" applyBorder="1" applyProtection="1">
      <protection locked="0"/>
    </xf>
    <xf numFmtId="0" fontId="10" fillId="0" borderId="20" xfId="0" applyFont="1" applyBorder="1" applyProtection="1">
      <protection locked="0"/>
    </xf>
    <xf numFmtId="0" fontId="10" fillId="0" borderId="18" xfId="0" applyFont="1" applyBorder="1" applyProtection="1">
      <protection locked="0"/>
    </xf>
    <xf numFmtId="0" fontId="10" fillId="0" borderId="28" xfId="0" applyFont="1" applyBorder="1"/>
    <xf numFmtId="0" fontId="10" fillId="0" borderId="20" xfId="0" applyFont="1" applyBorder="1"/>
    <xf numFmtId="0" fontId="10" fillId="0" borderId="18" xfId="0" applyFont="1" applyBorder="1"/>
    <xf numFmtId="0" fontId="10" fillId="0" borderId="1" xfId="10" applyFill="1" applyBorder="1" applyAlignment="1">
      <alignment horizontal="left"/>
    </xf>
    <xf numFmtId="0" fontId="10" fillId="0" borderId="1" xfId="0" applyFont="1" applyBorder="1" applyAlignment="1">
      <alignment horizontal="center"/>
    </xf>
    <xf numFmtId="0" fontId="19" fillId="0" borderId="2" xfId="0" applyFont="1" applyBorder="1" applyProtection="1">
      <protection locked="0"/>
    </xf>
    <xf numFmtId="0" fontId="19" fillId="0" borderId="10" xfId="0" applyFont="1" applyBorder="1" applyProtection="1">
      <protection locked="0"/>
    </xf>
    <xf numFmtId="0" fontId="10" fillId="0" borderId="3" xfId="0" applyFont="1" applyBorder="1" applyProtection="1">
      <protection locked="0"/>
    </xf>
    <xf numFmtId="0" fontId="10" fillId="0" borderId="1" xfId="0" applyFont="1" applyBorder="1" applyProtection="1">
      <protection locked="0"/>
    </xf>
    <xf numFmtId="0" fontId="10" fillId="0" borderId="10" xfId="0" applyFont="1" applyBorder="1" applyProtection="1">
      <protection locked="0"/>
    </xf>
    <xf numFmtId="0" fontId="10" fillId="0" borderId="3" xfId="0" applyFont="1" applyBorder="1"/>
    <xf numFmtId="0" fontId="10" fillId="0" borderId="1" xfId="0" applyFont="1" applyBorder="1"/>
    <xf numFmtId="0" fontId="10" fillId="0" borderId="10" xfId="0" applyFont="1" applyBorder="1"/>
    <xf numFmtId="0" fontId="19" fillId="0" borderId="15" xfId="0" applyFont="1" applyBorder="1" applyProtection="1">
      <protection locked="0"/>
    </xf>
    <xf numFmtId="0" fontId="19" fillId="0" borderId="12" xfId="0" applyFont="1" applyBorder="1" applyProtection="1">
      <protection locked="0"/>
    </xf>
    <xf numFmtId="0" fontId="10" fillId="0" borderId="33" xfId="0" applyFont="1" applyBorder="1" applyProtection="1">
      <protection locked="0"/>
    </xf>
    <xf numFmtId="0" fontId="10" fillId="0" borderId="14" xfId="0" applyFont="1" applyBorder="1" applyProtection="1">
      <protection locked="0"/>
    </xf>
    <xf numFmtId="0" fontId="10" fillId="0" borderId="12" xfId="0" applyFont="1" applyBorder="1" applyProtection="1">
      <protection locked="0"/>
    </xf>
    <xf numFmtId="0" fontId="10" fillId="0" borderId="33" xfId="0" applyFont="1" applyBorder="1"/>
    <xf numFmtId="0" fontId="10" fillId="0" borderId="14" xfId="0" applyFont="1" applyBorder="1"/>
    <xf numFmtId="0" fontId="10" fillId="0" borderId="12" xfId="0" applyFont="1" applyBorder="1"/>
    <xf numFmtId="0" fontId="10" fillId="0" borderId="27" xfId="0" applyFont="1" applyBorder="1"/>
    <xf numFmtId="0" fontId="10" fillId="0" borderId="6" xfId="0" applyFont="1" applyBorder="1"/>
    <xf numFmtId="0" fontId="10" fillId="0" borderId="44" xfId="0" applyFont="1" applyBorder="1"/>
    <xf numFmtId="0" fontId="19" fillId="0" borderId="20" xfId="0" applyFont="1" applyBorder="1" applyProtection="1">
      <protection locked="0"/>
    </xf>
    <xf numFmtId="0" fontId="10" fillId="0" borderId="38" xfId="0" applyFont="1" applyBorder="1"/>
    <xf numFmtId="0" fontId="10" fillId="0" borderId="13" xfId="0" applyFont="1" applyBorder="1"/>
    <xf numFmtId="0" fontId="10" fillId="0" borderId="8" xfId="0" applyFont="1" applyBorder="1"/>
    <xf numFmtId="0" fontId="19" fillId="0" borderId="1" xfId="0" applyFont="1" applyBorder="1" applyProtection="1">
      <protection locked="0"/>
    </xf>
    <xf numFmtId="0" fontId="19" fillId="0" borderId="6" xfId="0" applyFont="1" applyBorder="1" applyProtection="1">
      <protection locked="0"/>
    </xf>
    <xf numFmtId="0" fontId="19" fillId="0" borderId="44" xfId="0" applyFont="1" applyBorder="1" applyProtection="1">
      <protection locked="0"/>
    </xf>
    <xf numFmtId="0" fontId="19" fillId="0" borderId="14" xfId="0" applyFont="1" applyBorder="1" applyProtection="1">
      <protection locked="0"/>
    </xf>
    <xf numFmtId="0" fontId="10" fillId="0" borderId="28" xfId="0" applyFont="1" applyBorder="1" applyAlignment="1" applyProtection="1">
      <alignment horizontal="center"/>
      <protection locked="0"/>
    </xf>
    <xf numFmtId="0" fontId="10" fillId="0" borderId="3" xfId="0" applyFont="1" applyBorder="1" applyAlignment="1" applyProtection="1">
      <alignment horizontal="center"/>
      <protection locked="0"/>
    </xf>
    <xf numFmtId="0" fontId="19" fillId="0" borderId="25" xfId="0" applyFont="1" applyBorder="1" applyProtection="1">
      <protection locked="0"/>
    </xf>
    <xf numFmtId="0" fontId="10" fillId="0" borderId="27" xfId="0" applyFont="1" applyBorder="1" applyProtection="1">
      <protection locked="0"/>
    </xf>
    <xf numFmtId="0" fontId="10" fillId="0" borderId="6" xfId="0" applyFont="1" applyBorder="1" applyProtection="1">
      <protection locked="0"/>
    </xf>
    <xf numFmtId="0" fontId="10" fillId="0" borderId="44" xfId="0" applyFont="1" applyBorder="1" applyProtection="1">
      <protection locked="0"/>
    </xf>
    <xf numFmtId="0" fontId="19" fillId="0" borderId="13" xfId="0" applyFont="1" applyBorder="1" applyProtection="1">
      <protection locked="0"/>
    </xf>
    <xf numFmtId="0" fontId="19" fillId="0" borderId="8" xfId="0" applyFont="1" applyBorder="1" applyProtection="1">
      <protection locked="0"/>
    </xf>
    <xf numFmtId="0" fontId="10" fillId="0" borderId="38" xfId="0" applyFont="1" applyBorder="1" applyProtection="1">
      <protection locked="0"/>
    </xf>
    <xf numFmtId="0" fontId="10" fillId="0" borderId="13" xfId="0" applyFont="1" applyBorder="1" applyProtection="1">
      <protection locked="0"/>
    </xf>
    <xf numFmtId="0" fontId="10" fillId="0" borderId="8" xfId="0" applyFont="1" applyBorder="1" applyProtection="1">
      <protection locked="0"/>
    </xf>
    <xf numFmtId="0" fontId="19" fillId="0" borderId="1" xfId="0" applyFont="1" applyBorder="1" applyAlignment="1" applyProtection="1">
      <alignment horizontal="left"/>
      <protection locked="0"/>
    </xf>
    <xf numFmtId="0" fontId="19" fillId="0" borderId="14" xfId="0" applyFont="1" applyBorder="1" applyAlignment="1" applyProtection="1">
      <alignment horizontal="left"/>
      <protection locked="0"/>
    </xf>
    <xf numFmtId="0" fontId="19" fillId="3" borderId="67" xfId="0" applyFont="1" applyFill="1" applyBorder="1"/>
    <xf numFmtId="0" fontId="10" fillId="0" borderId="7" xfId="0" applyFont="1" applyBorder="1"/>
    <xf numFmtId="0" fontId="5" fillId="0" borderId="0" xfId="0" quotePrefix="1" applyFont="1"/>
    <xf numFmtId="0" fontId="19" fillId="3" borderId="42" xfId="0" applyFont="1" applyFill="1" applyBorder="1"/>
    <xf numFmtId="0" fontId="10" fillId="0" borderId="9" xfId="0" applyFont="1" applyBorder="1"/>
    <xf numFmtId="0" fontId="19" fillId="3" borderId="41" xfId="0" applyFont="1" applyFill="1" applyBorder="1"/>
    <xf numFmtId="0" fontId="10" fillId="0" borderId="11" xfId="0" applyFont="1" applyBorder="1"/>
    <xf numFmtId="0" fontId="19" fillId="3" borderId="43" xfId="0" applyFont="1" applyFill="1" applyBorder="1"/>
    <xf numFmtId="0" fontId="19" fillId="3" borderId="62" xfId="0" applyFont="1" applyFill="1" applyBorder="1"/>
    <xf numFmtId="0" fontId="10" fillId="3" borderId="43" xfId="0" applyFont="1" applyFill="1" applyBorder="1" applyProtection="1">
      <protection locked="0"/>
    </xf>
    <xf numFmtId="0" fontId="10" fillId="3" borderId="42" xfId="0" applyFont="1" applyFill="1" applyBorder="1" applyProtection="1">
      <protection locked="0"/>
    </xf>
    <xf numFmtId="0" fontId="10" fillId="3" borderId="41" xfId="0" applyFont="1" applyFill="1" applyBorder="1" applyProtection="1">
      <protection locked="0"/>
    </xf>
    <xf numFmtId="0" fontId="10" fillId="0" borderId="0" xfId="0" applyFont="1" applyAlignment="1">
      <alignment horizontal="left"/>
    </xf>
    <xf numFmtId="0" fontId="10" fillId="0" borderId="0" xfId="0" applyFont="1" applyAlignment="1" applyProtection="1">
      <alignment horizontal="left"/>
      <protection locked="0"/>
    </xf>
    <xf numFmtId="0" fontId="10" fillId="0" borderId="0" xfId="0" applyFont="1" applyProtection="1">
      <protection locked="0"/>
    </xf>
    <xf numFmtId="0" fontId="10" fillId="3" borderId="1" xfId="0" applyFont="1" applyFill="1" applyBorder="1" applyAlignment="1">
      <alignment horizontal="left"/>
    </xf>
    <xf numFmtId="0" fontId="10" fillId="0" borderId="1" xfId="0" applyFont="1" applyBorder="1" applyAlignment="1">
      <alignment horizontal="right"/>
    </xf>
    <xf numFmtId="0" fontId="5" fillId="3" borderId="51" xfId="0" applyFont="1" applyFill="1" applyBorder="1" applyAlignment="1">
      <alignment horizontal="center"/>
    </xf>
    <xf numFmtId="0" fontId="5" fillId="3" borderId="52" xfId="0" applyFont="1" applyFill="1" applyBorder="1" applyAlignment="1">
      <alignment horizontal="center"/>
    </xf>
    <xf numFmtId="0" fontId="5" fillId="3" borderId="48" xfId="0" applyFont="1" applyFill="1" applyBorder="1" applyAlignment="1">
      <alignment horizontal="center"/>
    </xf>
    <xf numFmtId="0" fontId="10" fillId="3" borderId="17" xfId="0" applyFont="1" applyFill="1" applyBorder="1"/>
    <xf numFmtId="0" fontId="10" fillId="3" borderId="17" xfId="0" applyFont="1" applyFill="1" applyBorder="1" applyAlignment="1">
      <alignment horizontal="center"/>
    </xf>
    <xf numFmtId="0" fontId="10" fillId="3" borderId="20" xfId="0" applyFont="1" applyFill="1" applyBorder="1" applyAlignment="1">
      <alignment horizontal="center"/>
    </xf>
    <xf numFmtId="0" fontId="10" fillId="3" borderId="18" xfId="0" applyFont="1" applyFill="1" applyBorder="1" applyAlignment="1">
      <alignment horizontal="center"/>
    </xf>
    <xf numFmtId="0" fontId="5" fillId="0" borderId="45" xfId="0" applyFont="1" applyBorder="1"/>
    <xf numFmtId="0" fontId="5" fillId="0" borderId="19" xfId="0" applyFont="1" applyBorder="1" applyAlignment="1">
      <alignment horizontal="right"/>
    </xf>
    <xf numFmtId="0" fontId="5" fillId="0" borderId="28" xfId="0" applyFont="1" applyBorder="1" applyAlignment="1">
      <alignment horizontal="left"/>
    </xf>
    <xf numFmtId="0" fontId="5" fillId="0" borderId="20" xfId="0" applyFont="1" applyBorder="1" applyAlignment="1">
      <alignment horizontal="center"/>
    </xf>
    <xf numFmtId="0" fontId="5" fillId="0" borderId="19" xfId="0" applyFont="1" applyBorder="1" applyAlignment="1">
      <alignment horizontal="center"/>
    </xf>
    <xf numFmtId="0" fontId="5" fillId="0" borderId="20" xfId="0" applyFont="1" applyBorder="1" applyAlignment="1" applyProtection="1">
      <alignment horizontal="center"/>
      <protection locked="0"/>
    </xf>
    <xf numFmtId="0" fontId="5" fillId="0" borderId="18" xfId="0" applyFont="1" applyBorder="1" applyAlignment="1" applyProtection="1">
      <alignment horizontal="center"/>
      <protection locked="0"/>
    </xf>
    <xf numFmtId="0" fontId="10" fillId="3" borderId="9" xfId="0" applyFont="1" applyFill="1" applyBorder="1"/>
    <xf numFmtId="0" fontId="10" fillId="7" borderId="9" xfId="0" applyFont="1" applyFill="1" applyBorder="1" applyAlignment="1">
      <alignment horizontal="center"/>
    </xf>
    <xf numFmtId="0" fontId="10" fillId="0" borderId="10" xfId="0" applyFont="1" applyBorder="1" applyAlignment="1">
      <alignment horizontal="center"/>
    </xf>
    <xf numFmtId="0" fontId="5" fillId="0" borderId="26" xfId="0" applyFont="1" applyBorder="1"/>
    <xf numFmtId="0" fontId="5" fillId="0" borderId="1" xfId="0" applyFont="1" applyBorder="1" applyAlignment="1">
      <alignment horizontal="center"/>
    </xf>
    <xf numFmtId="0" fontId="5" fillId="0" borderId="2" xfId="0" applyFont="1" applyBorder="1" applyAlignment="1">
      <alignment horizontal="center"/>
    </xf>
    <xf numFmtId="0" fontId="5" fillId="0" borderId="1" xfId="0" applyFont="1" applyBorder="1" applyAlignment="1" applyProtection="1">
      <alignment horizontal="center"/>
      <protection locked="0"/>
    </xf>
    <xf numFmtId="0" fontId="10" fillId="3" borderId="11" xfId="0" applyFont="1" applyFill="1" applyBorder="1"/>
    <xf numFmtId="0" fontId="5" fillId="0" borderId="32" xfId="0" applyFont="1" applyBorder="1"/>
    <xf numFmtId="0" fontId="5" fillId="0" borderId="64" xfId="0" applyFont="1" applyBorder="1" applyAlignment="1">
      <alignment horizontal="right"/>
    </xf>
    <xf numFmtId="0" fontId="5" fillId="0" borderId="60" xfId="0" applyFont="1" applyBorder="1" applyAlignment="1">
      <alignment horizontal="left"/>
    </xf>
    <xf numFmtId="0" fontId="5" fillId="0" borderId="14" xfId="0" applyFont="1" applyBorder="1" applyAlignment="1">
      <alignment horizontal="center"/>
    </xf>
    <xf numFmtId="0" fontId="5" fillId="0" borderId="15" xfId="0" applyFont="1" applyBorder="1" applyAlignment="1">
      <alignment horizontal="center"/>
    </xf>
    <xf numFmtId="0" fontId="5" fillId="0" borderId="14" xfId="0" applyFont="1" applyBorder="1" applyAlignment="1" applyProtection="1">
      <alignment horizontal="center"/>
      <protection locked="0"/>
    </xf>
    <xf numFmtId="0" fontId="5" fillId="0" borderId="52" xfId="0" applyFont="1" applyBorder="1" applyAlignment="1" applyProtection="1">
      <alignment horizontal="center"/>
      <protection locked="0"/>
    </xf>
    <xf numFmtId="0" fontId="5" fillId="0" borderId="48" xfId="0" applyFont="1" applyBorder="1" applyAlignment="1" applyProtection="1">
      <alignment horizontal="center"/>
      <protection locked="0"/>
    </xf>
    <xf numFmtId="0" fontId="10" fillId="3" borderId="51" xfId="0" applyFont="1" applyFill="1" applyBorder="1"/>
    <xf numFmtId="0" fontId="10" fillId="0" borderId="48" xfId="0" applyFont="1" applyBorder="1" applyProtection="1">
      <protection locked="0"/>
    </xf>
    <xf numFmtId="0" fontId="10" fillId="7" borderId="11" xfId="0" applyFont="1" applyFill="1" applyBorder="1" applyAlignment="1">
      <alignment horizontal="center"/>
    </xf>
    <xf numFmtId="0" fontId="10" fillId="0" borderId="14" xfId="0" applyFont="1" applyBorder="1" applyAlignment="1">
      <alignment horizontal="center"/>
    </xf>
    <xf numFmtId="0" fontId="10" fillId="0" borderId="12" xfId="0" applyFont="1" applyBorder="1" applyAlignment="1">
      <alignment horizontal="center"/>
    </xf>
    <xf numFmtId="0" fontId="5" fillId="2" borderId="1" xfId="0" applyFont="1" applyFill="1" applyBorder="1"/>
    <xf numFmtId="0" fontId="5" fillId="2" borderId="2" xfId="0" applyFont="1" applyFill="1" applyBorder="1" applyAlignment="1">
      <alignment horizontal="center"/>
    </xf>
    <xf numFmtId="0" fontId="5" fillId="2" borderId="10" xfId="0" applyFont="1" applyFill="1" applyBorder="1" applyAlignment="1" applyProtection="1">
      <alignment horizontal="center"/>
      <protection locked="0"/>
    </xf>
    <xf numFmtId="0" fontId="32" fillId="0" borderId="0" xfId="0" applyFont="1"/>
    <xf numFmtId="0" fontId="5" fillId="0" borderId="9" xfId="0" applyFont="1" applyBorder="1"/>
    <xf numFmtId="0" fontId="5" fillId="0" borderId="11" xfId="0" applyFont="1" applyBorder="1"/>
    <xf numFmtId="0" fontId="5" fillId="2" borderId="14" xfId="0" applyFont="1" applyFill="1" applyBorder="1"/>
    <xf numFmtId="0" fontId="5" fillId="2" borderId="15" xfId="0" applyFont="1" applyFill="1" applyBorder="1" applyAlignment="1">
      <alignment horizontal="center"/>
    </xf>
    <xf numFmtId="0" fontId="5" fillId="2" borderId="12" xfId="0" applyFont="1" applyFill="1" applyBorder="1" applyAlignment="1" applyProtection="1">
      <alignment horizontal="center"/>
      <protection locked="0"/>
    </xf>
    <xf numFmtId="0" fontId="5" fillId="0" borderId="57" xfId="0" applyFont="1" applyBorder="1"/>
    <xf numFmtId="0" fontId="5" fillId="0" borderId="64" xfId="0" applyFont="1" applyBorder="1"/>
    <xf numFmtId="0" fontId="5" fillId="0" borderId="60" xfId="0" applyFont="1" applyBorder="1"/>
    <xf numFmtId="0" fontId="5" fillId="2" borderId="60" xfId="0" applyFont="1" applyFill="1" applyBorder="1"/>
    <xf numFmtId="0" fontId="5" fillId="0" borderId="52" xfId="0" applyFont="1" applyBorder="1" applyAlignment="1">
      <alignment horizontal="center"/>
    </xf>
    <xf numFmtId="0" fontId="5" fillId="2" borderId="64" xfId="0" applyFont="1" applyFill="1" applyBorder="1" applyAlignment="1">
      <alignment horizontal="center"/>
    </xf>
    <xf numFmtId="0" fontId="5" fillId="2" borderId="48" xfId="0" applyFont="1" applyFill="1" applyBorder="1" applyAlignment="1" applyProtection="1">
      <alignment horizontal="center"/>
      <protection locked="0"/>
    </xf>
    <xf numFmtId="0" fontId="10" fillId="3" borderId="1" xfId="0" applyFont="1" applyFill="1" applyBorder="1"/>
    <xf numFmtId="0" fontId="10" fillId="0" borderId="1" xfId="0" applyFont="1" applyBorder="1" applyAlignment="1" applyProtection="1">
      <alignment horizontal="left"/>
      <protection locked="0"/>
    </xf>
    <xf numFmtId="0" fontId="10" fillId="0" borderId="1" xfId="0" applyFont="1" applyBorder="1" applyAlignment="1" applyProtection="1">
      <alignment horizontal="center"/>
      <protection locked="0"/>
    </xf>
    <xf numFmtId="0" fontId="10" fillId="0" borderId="1" xfId="0" quotePrefix="1" applyFont="1" applyBorder="1"/>
    <xf numFmtId="0" fontId="10" fillId="0" borderId="1" xfId="0" applyFont="1" applyBorder="1" applyAlignment="1">
      <alignment horizontal="left"/>
    </xf>
    <xf numFmtId="0" fontId="10" fillId="7" borderId="23" xfId="0" applyFont="1" applyFill="1" applyBorder="1" applyAlignment="1" applyProtection="1">
      <alignment horizontal="center"/>
      <protection locked="0"/>
    </xf>
    <xf numFmtId="0" fontId="10" fillId="3" borderId="65" xfId="0" applyFont="1" applyFill="1" applyBorder="1" applyAlignment="1">
      <alignment horizontal="center"/>
    </xf>
    <xf numFmtId="0" fontId="10" fillId="3" borderId="78" xfId="0" applyFont="1" applyFill="1" applyBorder="1" applyAlignment="1">
      <alignment horizontal="center"/>
    </xf>
    <xf numFmtId="0" fontId="10" fillId="3" borderId="74" xfId="0" applyFont="1" applyFill="1" applyBorder="1" applyAlignment="1">
      <alignment horizontal="center"/>
    </xf>
    <xf numFmtId="0" fontId="10" fillId="0" borderId="7" xfId="0" applyFont="1" applyBorder="1" applyProtection="1">
      <protection locked="0"/>
    </xf>
    <xf numFmtId="0" fontId="10" fillId="0" borderId="9" xfId="0" applyFont="1" applyBorder="1" applyProtection="1">
      <protection locked="0"/>
    </xf>
    <xf numFmtId="0" fontId="10" fillId="0" borderId="11" xfId="0" applyFont="1" applyBorder="1" applyProtection="1">
      <protection locked="0"/>
    </xf>
    <xf numFmtId="0" fontId="10" fillId="7" borderId="22" xfId="0" applyFont="1" applyFill="1" applyBorder="1" applyAlignment="1" applyProtection="1">
      <alignment horizontal="center"/>
      <protection locked="0"/>
    </xf>
    <xf numFmtId="0" fontId="10" fillId="7" borderId="47" xfId="0" applyFont="1" applyFill="1" applyBorder="1" applyAlignment="1" applyProtection="1">
      <alignment horizontal="center"/>
      <protection locked="0"/>
    </xf>
    <xf numFmtId="0" fontId="10" fillId="3" borderId="0" xfId="0" applyFont="1" applyFill="1" applyAlignment="1">
      <alignment horizontal="center"/>
    </xf>
    <xf numFmtId="0" fontId="10" fillId="3" borderId="4" xfId="0" applyFont="1" applyFill="1" applyBorder="1" applyAlignment="1">
      <alignment horizontal="center"/>
    </xf>
    <xf numFmtId="0" fontId="10" fillId="3" borderId="48" xfId="0" applyFont="1" applyFill="1" applyBorder="1"/>
    <xf numFmtId="0" fontId="10" fillId="0" borderId="7" xfId="0" applyFont="1" applyBorder="1" applyAlignment="1" applyProtection="1">
      <alignment horizontal="center"/>
      <protection locked="0"/>
    </xf>
    <xf numFmtId="0" fontId="10" fillId="0" borderId="13" xfId="0" applyFont="1" applyBorder="1" applyAlignment="1" applyProtection="1">
      <alignment horizontal="center"/>
      <protection locked="0"/>
    </xf>
    <xf numFmtId="0" fontId="10" fillId="0" borderId="40" xfId="0" applyFont="1" applyBorder="1" applyAlignment="1" applyProtection="1">
      <alignment horizontal="center"/>
      <protection locked="0"/>
    </xf>
    <xf numFmtId="0" fontId="10" fillId="0" borderId="9" xfId="0" applyFont="1" applyBorder="1" applyAlignment="1" applyProtection="1">
      <alignment horizontal="center"/>
      <protection locked="0"/>
    </xf>
    <xf numFmtId="0" fontId="10" fillId="0" borderId="2" xfId="0" applyFont="1" applyBorder="1" applyAlignment="1" applyProtection="1">
      <alignment horizontal="center"/>
      <protection locked="0"/>
    </xf>
    <xf numFmtId="0" fontId="10" fillId="0" borderId="11" xfId="0" applyFont="1" applyBorder="1" applyAlignment="1" applyProtection="1">
      <alignment horizontal="center"/>
      <protection locked="0"/>
    </xf>
    <xf numFmtId="0" fontId="10" fillId="0" borderId="14" xfId="0" applyFont="1" applyBorder="1" applyAlignment="1" applyProtection="1">
      <alignment horizontal="center"/>
      <protection locked="0"/>
    </xf>
    <xf numFmtId="0" fontId="10" fillId="0" borderId="15" xfId="0" applyFont="1" applyBorder="1" applyAlignment="1" applyProtection="1">
      <alignment horizontal="center"/>
      <protection locked="0"/>
    </xf>
    <xf numFmtId="0" fontId="10" fillId="3" borderId="1" xfId="0" applyFont="1" applyFill="1" applyBorder="1" applyAlignment="1" applyProtection="1">
      <alignment horizontal="left"/>
      <protection locked="0"/>
    </xf>
    <xf numFmtId="0" fontId="10" fillId="0" borderId="1" xfId="0" applyFont="1" applyBorder="1" applyAlignment="1" applyProtection="1">
      <alignment horizontal="right"/>
      <protection locked="0"/>
    </xf>
    <xf numFmtId="0" fontId="10" fillId="0" borderId="0" xfId="0" applyFont="1" applyAlignment="1">
      <alignment horizontal="right"/>
    </xf>
    <xf numFmtId="0" fontId="10" fillId="7" borderId="1" xfId="0" applyFont="1" applyFill="1" applyBorder="1" applyProtection="1">
      <protection locked="0"/>
    </xf>
    <xf numFmtId="0" fontId="19" fillId="3" borderId="1" xfId="0" applyFont="1" applyFill="1" applyBorder="1" applyProtection="1">
      <protection locked="0"/>
    </xf>
    <xf numFmtId="0" fontId="19" fillId="3" borderId="1" xfId="0" applyFont="1" applyFill="1" applyBorder="1" applyAlignment="1" applyProtection="1">
      <alignment horizontal="left"/>
      <protection locked="0"/>
    </xf>
    <xf numFmtId="0" fontId="19" fillId="19" borderId="1" xfId="0" applyFont="1" applyFill="1" applyBorder="1" applyProtection="1">
      <protection locked="0"/>
    </xf>
    <xf numFmtId="0" fontId="10" fillId="0" borderId="1" xfId="0" quotePrefix="1" applyFont="1" applyBorder="1" applyAlignment="1" applyProtection="1">
      <alignment horizontal="right"/>
      <protection locked="0"/>
    </xf>
    <xf numFmtId="0" fontId="10" fillId="22" borderId="54" xfId="0" applyFont="1" applyFill="1" applyBorder="1"/>
    <xf numFmtId="0" fontId="10" fillId="22" borderId="49" xfId="0" applyFont="1" applyFill="1" applyBorder="1"/>
    <xf numFmtId="0" fontId="10" fillId="22" borderId="50" xfId="0" applyFont="1" applyFill="1" applyBorder="1"/>
    <xf numFmtId="0" fontId="10" fillId="22" borderId="55" xfId="0" applyFont="1" applyFill="1" applyBorder="1"/>
    <xf numFmtId="0" fontId="10" fillId="22" borderId="0" xfId="0" applyFont="1" applyFill="1"/>
    <xf numFmtId="0" fontId="10" fillId="22" borderId="56" xfId="0" applyFont="1" applyFill="1" applyBorder="1"/>
    <xf numFmtId="0" fontId="10" fillId="7" borderId="9" xfId="0" applyFont="1" applyFill="1" applyBorder="1" applyAlignment="1" applyProtection="1">
      <alignment horizontal="center"/>
      <protection locked="0"/>
    </xf>
    <xf numFmtId="0" fontId="10" fillId="7" borderId="3" xfId="0" applyFont="1" applyFill="1" applyBorder="1" applyAlignment="1" applyProtection="1">
      <alignment horizontal="center"/>
      <protection locked="0"/>
    </xf>
    <xf numFmtId="0" fontId="10" fillId="0" borderId="17" xfId="0" applyFont="1" applyBorder="1"/>
    <xf numFmtId="0" fontId="10" fillId="7" borderId="11" xfId="0" applyFont="1" applyFill="1" applyBorder="1" applyAlignment="1" applyProtection="1">
      <alignment horizontal="center"/>
      <protection locked="0"/>
    </xf>
    <xf numFmtId="0" fontId="10" fillId="7" borderId="33" xfId="0" applyFont="1" applyFill="1" applyBorder="1" applyAlignment="1" applyProtection="1">
      <alignment horizontal="center"/>
      <protection locked="0"/>
    </xf>
    <xf numFmtId="0" fontId="10" fillId="22" borderId="57" xfId="0" applyFont="1" applyFill="1" applyBorder="1"/>
    <xf numFmtId="0" fontId="10" fillId="22" borderId="58" xfId="0" applyFont="1" applyFill="1" applyBorder="1"/>
    <xf numFmtId="0" fontId="10" fillId="22" borderId="59" xfId="0" applyFont="1" applyFill="1" applyBorder="1"/>
    <xf numFmtId="0" fontId="11" fillId="7" borderId="24" xfId="0" applyFont="1" applyFill="1" applyBorder="1" applyAlignment="1">
      <alignment horizontal="center" vertical="center"/>
    </xf>
    <xf numFmtId="0" fontId="11" fillId="7" borderId="39" xfId="0" applyFont="1" applyFill="1" applyBorder="1" applyAlignment="1">
      <alignment horizontal="center" vertical="center"/>
    </xf>
    <xf numFmtId="0" fontId="2" fillId="18" borderId="18" xfId="0" applyFont="1" applyFill="1" applyBorder="1" applyAlignment="1">
      <alignment horizontal="left" shrinkToFit="1"/>
    </xf>
    <xf numFmtId="0" fontId="2" fillId="18" borderId="10" xfId="0" applyFont="1" applyFill="1" applyBorder="1" applyAlignment="1">
      <alignment horizontal="left" shrinkToFit="1"/>
    </xf>
    <xf numFmtId="0" fontId="10" fillId="6" borderId="70" xfId="0" applyFont="1" applyFill="1" applyBorder="1" applyAlignment="1">
      <alignment horizontal="center"/>
    </xf>
    <xf numFmtId="0" fontId="10" fillId="3" borderId="71" xfId="0" applyFont="1" applyFill="1" applyBorder="1"/>
    <xf numFmtId="0" fontId="10" fillId="0" borderId="81" xfId="0" applyFont="1" applyBorder="1"/>
    <xf numFmtId="0" fontId="10" fillId="0" borderId="76" xfId="0" applyFont="1" applyBorder="1"/>
    <xf numFmtId="0" fontId="10" fillId="0" borderId="77" xfId="0" applyFont="1" applyBorder="1"/>
    <xf numFmtId="0" fontId="2" fillId="0" borderId="40" xfId="0" applyFont="1" applyBorder="1" applyAlignment="1" applyProtection="1">
      <alignment horizontal="right"/>
      <protection locked="0"/>
    </xf>
    <xf numFmtId="0" fontId="2" fillId="21" borderId="38" xfId="0" applyFont="1" applyFill="1" applyBorder="1" applyAlignment="1" applyProtection="1">
      <alignment horizontal="left"/>
      <protection locked="0"/>
    </xf>
    <xf numFmtId="0" fontId="2" fillId="0" borderId="0" xfId="0" applyFont="1" applyAlignment="1" applyProtection="1">
      <alignment horizontal="right"/>
      <protection locked="0"/>
    </xf>
    <xf numFmtId="0" fontId="2" fillId="21" borderId="0" xfId="0" applyFont="1" applyFill="1" applyAlignment="1" applyProtection="1">
      <alignment horizontal="left"/>
      <protection locked="0"/>
    </xf>
    <xf numFmtId="0" fontId="13" fillId="0" borderId="8" xfId="0" applyFont="1" applyBorder="1" applyProtection="1">
      <protection locked="0"/>
    </xf>
    <xf numFmtId="0" fontId="13" fillId="0" borderId="10" xfId="0" applyFont="1" applyBorder="1" applyProtection="1">
      <protection locked="0"/>
    </xf>
    <xf numFmtId="0" fontId="0" fillId="0" borderId="1" xfId="0" applyBorder="1"/>
    <xf numFmtId="0" fontId="0" fillId="0" borderId="10" xfId="0" applyBorder="1"/>
    <xf numFmtId="0" fontId="0" fillId="0" borderId="14" xfId="0" applyBorder="1"/>
    <xf numFmtId="0" fontId="0" fillId="0" borderId="12" xfId="0" applyBorder="1"/>
    <xf numFmtId="0" fontId="0" fillId="0" borderId="3" xfId="0" applyBorder="1"/>
    <xf numFmtId="0" fontId="0" fillId="0" borderId="33" xfId="0" applyBorder="1"/>
    <xf numFmtId="0" fontId="2" fillId="3" borderId="14" xfId="0" applyFont="1" applyFill="1" applyBorder="1" applyAlignment="1">
      <alignment horizontal="left" vertical="center"/>
    </xf>
    <xf numFmtId="0" fontId="2" fillId="3" borderId="20" xfId="0" applyFont="1" applyFill="1" applyBorder="1" applyAlignment="1">
      <alignment horizontal="left" vertical="center"/>
    </xf>
    <xf numFmtId="0" fontId="2" fillId="3" borderId="1" xfId="0" applyFont="1" applyFill="1" applyBorder="1" applyAlignment="1">
      <alignment horizontal="left" vertical="center"/>
    </xf>
    <xf numFmtId="0" fontId="2" fillId="18" borderId="20" xfId="0" applyFont="1" applyFill="1" applyBorder="1" applyAlignment="1">
      <alignment horizontal="left" vertical="center"/>
    </xf>
    <xf numFmtId="0" fontId="0" fillId="2" borderId="0" xfId="0" applyFill="1"/>
    <xf numFmtId="0" fontId="39" fillId="2" borderId="0" xfId="0" applyFont="1" applyFill="1" applyAlignment="1">
      <alignment vertical="center"/>
    </xf>
    <xf numFmtId="0" fontId="37" fillId="2" borderId="0" xfId="0" applyFont="1" applyFill="1"/>
    <xf numFmtId="0" fontId="42" fillId="2" borderId="0" xfId="0" applyFont="1" applyFill="1"/>
    <xf numFmtId="0" fontId="3" fillId="0" borderId="20" xfId="0" applyFont="1" applyFill="1" applyBorder="1" applyAlignment="1" applyProtection="1">
      <alignment vertical="center"/>
    </xf>
    <xf numFmtId="0" fontId="3" fillId="0" borderId="18" xfId="0" applyFont="1" applyFill="1" applyBorder="1" applyAlignment="1" applyProtection="1">
      <alignment vertical="center"/>
    </xf>
    <xf numFmtId="0" fontId="3" fillId="0" borderId="1" xfId="0" applyFont="1" applyFill="1" applyBorder="1" applyAlignment="1" applyProtection="1">
      <alignment vertical="center"/>
    </xf>
    <xf numFmtId="0" fontId="3" fillId="0" borderId="14" xfId="0" applyFont="1" applyFill="1" applyBorder="1" applyAlignment="1" applyProtection="1">
      <alignment vertical="center"/>
    </xf>
    <xf numFmtId="0" fontId="3" fillId="0" borderId="6" xfId="0" applyFont="1" applyFill="1" applyBorder="1" applyAlignment="1" applyProtection="1">
      <alignment vertical="center"/>
    </xf>
    <xf numFmtId="0" fontId="13" fillId="0" borderId="44" xfId="0" applyFont="1" applyFill="1" applyBorder="1" applyAlignment="1" applyProtection="1">
      <alignment vertical="center"/>
    </xf>
    <xf numFmtId="0" fontId="3" fillId="0" borderId="10" xfId="0" applyFont="1" applyFill="1" applyBorder="1" applyAlignment="1" applyProtection="1">
      <alignment horizontal="left" vertical="center"/>
    </xf>
    <xf numFmtId="0" fontId="13" fillId="0" borderId="12" xfId="0" applyFont="1" applyFill="1" applyBorder="1" applyAlignment="1" applyProtection="1">
      <alignment horizontal="left" vertical="center"/>
    </xf>
    <xf numFmtId="0" fontId="3" fillId="0" borderId="48" xfId="0" applyFont="1" applyFill="1" applyBorder="1" applyAlignment="1" applyProtection="1">
      <alignment horizontal="left" vertical="center"/>
    </xf>
    <xf numFmtId="0" fontId="36" fillId="0" borderId="13" xfId="0" applyFont="1" applyFill="1" applyBorder="1" applyAlignment="1" applyProtection="1">
      <alignment vertical="center"/>
    </xf>
    <xf numFmtId="0" fontId="36" fillId="0" borderId="1" xfId="0" applyFont="1" applyFill="1" applyBorder="1" applyAlignment="1" applyProtection="1">
      <alignment vertical="center"/>
    </xf>
    <xf numFmtId="0" fontId="36" fillId="0" borderId="14" xfId="0" applyFont="1" applyFill="1" applyBorder="1" applyAlignment="1" applyProtection="1">
      <alignment vertical="center"/>
    </xf>
    <xf numFmtId="0" fontId="3" fillId="0" borderId="12" xfId="0" applyFont="1" applyFill="1" applyBorder="1" applyAlignment="1" applyProtection="1">
      <alignment horizontal="left" vertical="center"/>
    </xf>
    <xf numFmtId="0" fontId="3" fillId="0" borderId="55" xfId="0" applyFont="1" applyFill="1" applyBorder="1" applyAlignment="1" applyProtection="1">
      <alignment vertical="center"/>
    </xf>
    <xf numFmtId="0" fontId="36" fillId="0" borderId="40" xfId="0" applyFont="1" applyFill="1" applyBorder="1" applyAlignment="1" applyProtection="1">
      <alignment vertical="center"/>
    </xf>
    <xf numFmtId="0" fontId="3" fillId="0" borderId="38" xfId="0" applyFont="1" applyFill="1" applyBorder="1" applyAlignment="1" applyProtection="1">
      <alignment vertical="center"/>
    </xf>
    <xf numFmtId="0" fontId="3" fillId="0" borderId="38" xfId="0" applyFont="1" applyFill="1" applyBorder="1" applyAlignment="1" applyProtection="1">
      <alignment horizontal="center" vertical="center"/>
    </xf>
    <xf numFmtId="0" fontId="3" fillId="0" borderId="57" xfId="0" applyFont="1" applyFill="1" applyBorder="1" applyAlignment="1" applyProtection="1">
      <alignment vertical="center"/>
    </xf>
    <xf numFmtId="0" fontId="36" fillId="0" borderId="38" xfId="0" applyFont="1" applyFill="1" applyBorder="1" applyAlignment="1" applyProtection="1">
      <alignment vertical="center"/>
    </xf>
    <xf numFmtId="0" fontId="43" fillId="0" borderId="21" xfId="0" applyFont="1" applyFill="1" applyBorder="1" applyAlignment="1" applyProtection="1">
      <alignment horizontal="center" vertical="center"/>
    </xf>
    <xf numFmtId="0" fontId="43" fillId="0" borderId="22" xfId="0" applyFont="1" applyFill="1" applyBorder="1" applyAlignment="1" applyProtection="1">
      <alignment horizontal="center" vertical="center"/>
    </xf>
    <xf numFmtId="0" fontId="44" fillId="0" borderId="24" xfId="0" applyFont="1" applyFill="1" applyBorder="1" applyAlignment="1" applyProtection="1">
      <alignment horizontal="center" vertical="center"/>
    </xf>
    <xf numFmtId="0" fontId="44" fillId="0" borderId="39" xfId="0" applyFont="1" applyFill="1" applyBorder="1" applyAlignment="1" applyProtection="1">
      <alignment horizontal="center" vertical="center"/>
    </xf>
    <xf numFmtId="0" fontId="3" fillId="0" borderId="65" xfId="0" applyFont="1" applyFill="1" applyBorder="1" applyAlignment="1" applyProtection="1">
      <alignment vertical="center"/>
    </xf>
    <xf numFmtId="0" fontId="3" fillId="0" borderId="4" xfId="0" applyFont="1" applyFill="1" applyBorder="1" applyAlignment="1" applyProtection="1">
      <alignment vertical="center"/>
    </xf>
    <xf numFmtId="0" fontId="3" fillId="0" borderId="24" xfId="0" applyFont="1" applyFill="1" applyBorder="1" applyAlignment="1" applyProtection="1">
      <alignment horizontal="left" vertical="center"/>
    </xf>
    <xf numFmtId="0" fontId="3" fillId="0" borderId="39" xfId="0" applyFont="1" applyFill="1" applyBorder="1" applyAlignment="1" applyProtection="1">
      <alignment horizontal="left" vertical="center"/>
    </xf>
    <xf numFmtId="0" fontId="13" fillId="0" borderId="65" xfId="0" applyFont="1" applyFill="1" applyBorder="1" applyAlignment="1" applyProtection="1">
      <alignment vertical="center"/>
    </xf>
    <xf numFmtId="0" fontId="13" fillId="0" borderId="51" xfId="0" applyFont="1" applyFill="1" applyBorder="1" applyAlignment="1" applyProtection="1">
      <alignment vertical="center"/>
    </xf>
    <xf numFmtId="0" fontId="3" fillId="0" borderId="64" xfId="0" applyFont="1" applyFill="1" applyBorder="1" applyAlignment="1" applyProtection="1">
      <alignment vertical="center"/>
    </xf>
    <xf numFmtId="0" fontId="0" fillId="0" borderId="0" xfId="0" applyProtection="1"/>
    <xf numFmtId="0" fontId="2" fillId="0" borderId="0" xfId="0" applyFont="1" applyProtection="1"/>
    <xf numFmtId="0" fontId="3" fillId="0" borderId="0" xfId="0" applyFont="1" applyFill="1" applyProtection="1"/>
    <xf numFmtId="0" fontId="36" fillId="0" borderId="51" xfId="0" applyFont="1" applyFill="1" applyBorder="1" applyProtection="1"/>
    <xf numFmtId="0" fontId="3" fillId="0" borderId="52" xfId="0" applyFont="1" applyFill="1" applyBorder="1" applyAlignment="1" applyProtection="1">
      <alignment horizontal="right"/>
    </xf>
    <xf numFmtId="0" fontId="36" fillId="0" borderId="52" xfId="0" applyFont="1" applyFill="1" applyBorder="1" applyProtection="1"/>
    <xf numFmtId="0" fontId="3" fillId="0" borderId="48" xfId="0" applyFont="1" applyFill="1" applyBorder="1" applyAlignment="1" applyProtection="1">
      <alignment horizontal="right"/>
    </xf>
    <xf numFmtId="0" fontId="36" fillId="0" borderId="60" xfId="0" applyFont="1" applyFill="1" applyBorder="1" applyProtection="1"/>
    <xf numFmtId="0" fontId="3" fillId="0" borderId="0" xfId="0" applyFont="1" applyFill="1" applyAlignment="1" applyProtection="1">
      <alignment horizontal="left"/>
    </xf>
    <xf numFmtId="0" fontId="3" fillId="0" borderId="0" xfId="0" applyFont="1" applyFill="1" applyAlignment="1" applyProtection="1">
      <alignment horizontal="center"/>
    </xf>
    <xf numFmtId="0" fontId="36" fillId="0" borderId="11" xfId="0" applyFont="1" applyFill="1" applyBorder="1" applyAlignment="1" applyProtection="1">
      <alignment horizontal="left"/>
    </xf>
    <xf numFmtId="0" fontId="3" fillId="0" borderId="40" xfId="0" applyFont="1" applyFill="1" applyBorder="1" applyProtection="1"/>
    <xf numFmtId="0" fontId="3" fillId="0" borderId="43" xfId="0" applyFont="1" applyFill="1" applyBorder="1" applyProtection="1"/>
    <xf numFmtId="0" fontId="3" fillId="0" borderId="8" xfId="0" applyFont="1" applyFill="1" applyBorder="1" applyProtection="1"/>
    <xf numFmtId="0" fontId="3" fillId="0" borderId="10" xfId="0" applyFont="1" applyFill="1" applyBorder="1" applyProtection="1"/>
    <xf numFmtId="0" fontId="3" fillId="0" borderId="44" xfId="0" applyFont="1" applyFill="1" applyBorder="1" applyProtection="1"/>
    <xf numFmtId="0" fontId="3" fillId="0" borderId="8" xfId="0" applyFont="1" applyFill="1" applyBorder="1" applyAlignment="1" applyProtection="1">
      <alignment horizontal="right"/>
    </xf>
    <xf numFmtId="0" fontId="3" fillId="0" borderId="12" xfId="0" applyFont="1" applyFill="1" applyBorder="1" applyProtection="1"/>
    <xf numFmtId="0" fontId="3" fillId="0" borderId="12" xfId="0" applyFont="1" applyFill="1" applyBorder="1" applyAlignment="1" applyProtection="1">
      <alignment horizontal="right"/>
    </xf>
    <xf numFmtId="0" fontId="3" fillId="0" borderId="18" xfId="0" applyFont="1" applyFill="1" applyBorder="1" applyAlignment="1" applyProtection="1">
      <alignment horizontal="right" shrinkToFit="1"/>
    </xf>
    <xf numFmtId="0" fontId="3" fillId="0" borderId="10" xfId="0" applyFont="1" applyFill="1" applyBorder="1" applyAlignment="1" applyProtection="1">
      <alignment horizontal="right" shrinkToFit="1"/>
    </xf>
    <xf numFmtId="0" fontId="3" fillId="0" borderId="12" xfId="0" applyFont="1" applyFill="1" applyBorder="1" applyAlignment="1" applyProtection="1">
      <alignment horizontal="right" shrinkToFit="1"/>
    </xf>
    <xf numFmtId="0" fontId="3" fillId="0" borderId="20" xfId="0" applyFont="1" applyFill="1" applyBorder="1" applyProtection="1"/>
    <xf numFmtId="0" fontId="3" fillId="0" borderId="18" xfId="0" applyFont="1" applyFill="1" applyBorder="1" applyProtection="1"/>
    <xf numFmtId="0" fontId="3" fillId="0" borderId="1" xfId="0" applyFont="1" applyFill="1" applyBorder="1" applyProtection="1"/>
    <xf numFmtId="0" fontId="3" fillId="0" borderId="14" xfId="0" applyFont="1" applyFill="1" applyBorder="1" applyProtection="1"/>
    <xf numFmtId="0" fontId="3" fillId="0" borderId="49" xfId="0" applyFont="1" applyFill="1" applyBorder="1" applyProtection="1"/>
    <xf numFmtId="0" fontId="3" fillId="0" borderId="13" xfId="0" applyFont="1" applyFill="1" applyBorder="1" applyAlignment="1" applyProtection="1">
      <alignment horizontal="right"/>
    </xf>
    <xf numFmtId="0" fontId="3" fillId="0" borderId="6" xfId="0" applyFont="1" applyFill="1" applyBorder="1" applyAlignment="1" applyProtection="1">
      <alignment horizontal="right"/>
    </xf>
    <xf numFmtId="0" fontId="3" fillId="0" borderId="1" xfId="0" applyFont="1" applyFill="1" applyBorder="1" applyAlignment="1" applyProtection="1">
      <alignment horizontal="right"/>
    </xf>
    <xf numFmtId="0" fontId="3" fillId="0" borderId="44" xfId="0" applyFont="1" applyFill="1" applyBorder="1" applyAlignment="1" applyProtection="1">
      <alignment horizontal="right"/>
    </xf>
    <xf numFmtId="0" fontId="3" fillId="0" borderId="14" xfId="0" applyFont="1" applyFill="1" applyBorder="1" applyAlignment="1" applyProtection="1">
      <alignment horizontal="right"/>
    </xf>
    <xf numFmtId="0" fontId="3" fillId="0" borderId="4" xfId="0" applyFont="1" applyFill="1" applyBorder="1" applyAlignment="1" applyProtection="1">
      <alignment horizontal="left"/>
    </xf>
    <xf numFmtId="0" fontId="36" fillId="0" borderId="28" xfId="0" applyFont="1" applyFill="1" applyBorder="1" applyAlignment="1" applyProtection="1">
      <alignment horizontal="left" shrinkToFit="1"/>
    </xf>
    <xf numFmtId="0" fontId="3" fillId="0" borderId="18" xfId="0" applyFont="1" applyFill="1" applyBorder="1" applyAlignment="1" applyProtection="1">
      <alignment horizontal="left" shrinkToFit="1"/>
    </xf>
    <xf numFmtId="0" fontId="36" fillId="0" borderId="3" xfId="0" applyFont="1" applyFill="1" applyBorder="1" applyAlignment="1" applyProtection="1">
      <alignment horizontal="left" shrinkToFit="1"/>
    </xf>
    <xf numFmtId="0" fontId="3" fillId="0" borderId="10" xfId="0" applyFont="1" applyFill="1" applyBorder="1" applyAlignment="1" applyProtection="1">
      <alignment horizontal="left" shrinkToFit="1"/>
    </xf>
    <xf numFmtId="0" fontId="3" fillId="0" borderId="1" xfId="0" applyFont="1" applyFill="1" applyBorder="1" applyAlignment="1" applyProtection="1">
      <alignment horizontal="center"/>
    </xf>
    <xf numFmtId="0" fontId="3" fillId="0" borderId="45" xfId="0" applyFont="1" applyFill="1" applyBorder="1" applyAlignment="1" applyProtection="1">
      <alignment horizontal="right"/>
    </xf>
    <xf numFmtId="0" fontId="36" fillId="0" borderId="17" xfId="0" applyFont="1" applyFill="1" applyBorder="1" applyAlignment="1" applyProtection="1">
      <alignment horizontal="left"/>
    </xf>
    <xf numFmtId="0" fontId="36" fillId="0" borderId="20" xfId="0" applyFont="1" applyFill="1" applyBorder="1" applyAlignment="1" applyProtection="1">
      <alignment horizontal="left"/>
    </xf>
    <xf numFmtId="0" fontId="3" fillId="0" borderId="18" xfId="0" applyFont="1" applyFill="1" applyBorder="1" applyAlignment="1" applyProtection="1">
      <alignment horizontal="left"/>
    </xf>
    <xf numFmtId="0" fontId="36" fillId="0" borderId="9" xfId="0" applyFont="1" applyFill="1" applyBorder="1" applyAlignment="1" applyProtection="1">
      <alignment horizontal="left"/>
    </xf>
    <xf numFmtId="0" fontId="36" fillId="0" borderId="1" xfId="0" applyFont="1" applyFill="1" applyBorder="1" applyAlignment="1" applyProtection="1">
      <alignment horizontal="left"/>
    </xf>
    <xf numFmtId="0" fontId="3" fillId="0" borderId="1" xfId="0" applyFont="1" applyFill="1" applyBorder="1" applyAlignment="1" applyProtection="1">
      <alignment horizontal="left"/>
    </xf>
    <xf numFmtId="0" fontId="3" fillId="0" borderId="10" xfId="0" applyFont="1" applyFill="1" applyBorder="1" applyAlignment="1" applyProtection="1">
      <alignment horizontal="left"/>
    </xf>
    <xf numFmtId="0" fontId="3" fillId="0" borderId="14" xfId="0" applyFont="1" applyFill="1" applyBorder="1" applyAlignment="1" applyProtection="1">
      <alignment horizontal="left"/>
    </xf>
    <xf numFmtId="0" fontId="3" fillId="0" borderId="12" xfId="0" applyFont="1" applyFill="1" applyBorder="1" applyAlignment="1" applyProtection="1">
      <alignment horizontal="left"/>
    </xf>
    <xf numFmtId="0" fontId="3" fillId="0" borderId="40" xfId="0" applyFont="1" applyFill="1" applyBorder="1" applyAlignment="1" applyProtection="1">
      <alignment horizontal="right"/>
    </xf>
    <xf numFmtId="0" fontId="36" fillId="0" borderId="7" xfId="0" applyFont="1" applyFill="1" applyBorder="1" applyProtection="1"/>
    <xf numFmtId="0" fontId="36" fillId="0" borderId="13" xfId="0" applyFont="1" applyFill="1" applyBorder="1" applyProtection="1"/>
    <xf numFmtId="0" fontId="36" fillId="0" borderId="38" xfId="0" applyFont="1" applyFill="1" applyBorder="1" applyAlignment="1" applyProtection="1">
      <alignment horizontal="left"/>
    </xf>
    <xf numFmtId="0" fontId="36" fillId="0" borderId="13" xfId="0" applyFont="1" applyFill="1" applyBorder="1" applyAlignment="1" applyProtection="1">
      <alignment horizontal="left"/>
    </xf>
    <xf numFmtId="0" fontId="36" fillId="0" borderId="4" xfId="0" applyFont="1" applyFill="1" applyBorder="1" applyAlignment="1" applyProtection="1">
      <alignment horizontal="left"/>
    </xf>
    <xf numFmtId="0" fontId="36" fillId="0" borderId="14" xfId="0" applyFont="1" applyFill="1" applyBorder="1" applyAlignment="1" applyProtection="1">
      <alignment horizontal="left"/>
    </xf>
    <xf numFmtId="0" fontId="36" fillId="0" borderId="23" xfId="0" applyFont="1" applyFill="1" applyBorder="1" applyAlignment="1" applyProtection="1">
      <alignment horizontal="center"/>
    </xf>
    <xf numFmtId="0" fontId="35" fillId="0" borderId="0" xfId="0" applyFont="1" applyFill="1" applyAlignment="1" applyProtection="1">
      <alignment horizontal="center"/>
    </xf>
    <xf numFmtId="0" fontId="3" fillId="0" borderId="38" xfId="0" applyFont="1" applyFill="1" applyBorder="1" applyAlignment="1" applyProtection="1">
      <alignment horizontal="left"/>
    </xf>
    <xf numFmtId="0" fontId="3" fillId="0" borderId="40" xfId="0" applyFont="1" applyFill="1" applyBorder="1" applyAlignment="1" applyProtection="1">
      <alignment horizontal="right"/>
    </xf>
    <xf numFmtId="0" fontId="3" fillId="0" borderId="1" xfId="0" applyFont="1" applyFill="1" applyBorder="1" applyAlignment="1" applyProtection="1">
      <alignment horizontal="left" vertical="center"/>
    </xf>
    <xf numFmtId="0" fontId="36" fillId="0" borderId="1" xfId="0" applyFont="1" applyFill="1" applyBorder="1" applyAlignment="1" applyProtection="1">
      <alignment horizontal="left" vertical="center"/>
    </xf>
    <xf numFmtId="0" fontId="3" fillId="0" borderId="13" xfId="0" applyFont="1" applyFill="1" applyBorder="1" applyAlignment="1" applyProtection="1">
      <alignment horizontal="left" vertical="center"/>
    </xf>
    <xf numFmtId="0" fontId="36" fillId="0" borderId="13" xfId="0" applyFont="1" applyFill="1" applyBorder="1" applyAlignment="1" applyProtection="1">
      <alignment horizontal="left" vertical="center"/>
    </xf>
    <xf numFmtId="0" fontId="36" fillId="0" borderId="14" xfId="0" applyFont="1" applyFill="1" applyBorder="1" applyAlignment="1" applyProtection="1">
      <alignment horizontal="left" vertical="center"/>
    </xf>
    <xf numFmtId="0" fontId="3" fillId="0" borderId="14" xfId="0" applyFont="1" applyFill="1" applyBorder="1" applyAlignment="1" applyProtection="1">
      <alignment horizontal="left" vertical="center"/>
    </xf>
    <xf numFmtId="0" fontId="3" fillId="0" borderId="8" xfId="0" applyFont="1" applyFill="1" applyBorder="1" applyAlignment="1" applyProtection="1">
      <alignment horizontal="left" vertical="center"/>
    </xf>
    <xf numFmtId="0" fontId="36" fillId="0" borderId="24" xfId="0" applyFont="1" applyFill="1" applyBorder="1" applyAlignment="1" applyProtection="1">
      <alignment horizontal="center"/>
    </xf>
    <xf numFmtId="0" fontId="36" fillId="0" borderId="39" xfId="0" applyFont="1" applyFill="1" applyBorder="1" applyAlignment="1" applyProtection="1">
      <alignment horizontal="center"/>
    </xf>
    <xf numFmtId="0" fontId="3" fillId="0" borderId="13" xfId="0" applyFont="1" applyFill="1" applyBorder="1" applyAlignment="1" applyProtection="1">
      <alignment horizontal="center"/>
    </xf>
    <xf numFmtId="0" fontId="3" fillId="0" borderId="14" xfId="0" applyFont="1" applyFill="1" applyBorder="1" applyAlignment="1" applyProtection="1">
      <alignment horizontal="center"/>
    </xf>
    <xf numFmtId="0" fontId="36" fillId="0" borderId="52" xfId="0" applyFont="1" applyFill="1" applyBorder="1" applyAlignment="1" applyProtection="1">
      <alignment horizontal="center"/>
    </xf>
    <xf numFmtId="0" fontId="36" fillId="0" borderId="52" xfId="0" applyFont="1" applyFill="1" applyBorder="1" applyAlignment="1" applyProtection="1">
      <alignment shrinkToFit="1"/>
    </xf>
    <xf numFmtId="0" fontId="36" fillId="0" borderId="48" xfId="0" applyFont="1" applyFill="1" applyBorder="1" applyProtection="1"/>
    <xf numFmtId="0" fontId="3" fillId="0" borderId="10" xfId="0" applyFont="1" applyFill="1" applyBorder="1" applyAlignment="1" applyProtection="1">
      <alignment horizontal="right"/>
    </xf>
    <xf numFmtId="0" fontId="0" fillId="0" borderId="0" xfId="0" applyBorder="1"/>
    <xf numFmtId="0" fontId="25" fillId="0" borderId="0" xfId="0" applyFont="1" applyBorder="1" applyAlignment="1">
      <alignment horizontal="center" wrapText="1"/>
    </xf>
    <xf numFmtId="0" fontId="0" fillId="0" borderId="0" xfId="0" applyBorder="1" applyAlignment="1">
      <alignment horizontal="center"/>
    </xf>
    <xf numFmtId="0" fontId="48" fillId="2" borderId="0" xfId="0" applyFont="1" applyFill="1"/>
    <xf numFmtId="0" fontId="9" fillId="2" borderId="0" xfId="0" applyFont="1" applyFill="1"/>
    <xf numFmtId="0" fontId="28" fillId="0" borderId="56" xfId="11" applyFont="1" applyBorder="1" applyAlignment="1"/>
    <xf numFmtId="0" fontId="26" fillId="0" borderId="55" xfId="11" applyBorder="1" applyAlignment="1" applyProtection="1"/>
    <xf numFmtId="0" fontId="28" fillId="0" borderId="0" xfId="11" applyFont="1" applyBorder="1" applyAlignment="1" applyProtection="1"/>
    <xf numFmtId="0" fontId="28" fillId="0" borderId="56" xfId="11" applyFont="1" applyBorder="1" applyAlignment="1" applyProtection="1"/>
    <xf numFmtId="0" fontId="27" fillId="0" borderId="0" xfId="0" applyFont="1" applyBorder="1" applyAlignment="1" applyProtection="1"/>
    <xf numFmtId="0" fontId="27" fillId="0" borderId="56" xfId="0" applyFont="1" applyBorder="1" applyAlignment="1" applyProtection="1"/>
    <xf numFmtId="0" fontId="28" fillId="0" borderId="55" xfId="11" applyFont="1" applyBorder="1" applyAlignment="1" applyProtection="1"/>
    <xf numFmtId="0" fontId="9" fillId="0" borderId="72" xfId="0" applyFont="1" applyBorder="1" applyAlignment="1">
      <alignment vertical="center"/>
    </xf>
    <xf numFmtId="0" fontId="0" fillId="0" borderId="71" xfId="0" applyBorder="1" applyAlignment="1">
      <alignment vertical="center" wrapText="1"/>
    </xf>
    <xf numFmtId="0" fontId="41" fillId="2" borderId="0" xfId="0" applyFont="1" applyFill="1" applyAlignment="1">
      <alignment horizontal="center"/>
    </xf>
    <xf numFmtId="0" fontId="39" fillId="2" borderId="0" xfId="0" applyFont="1" applyFill="1" applyAlignment="1">
      <alignment horizontal="left" vertical="center"/>
    </xf>
    <xf numFmtId="0" fontId="38" fillId="2" borderId="0" xfId="0" applyFont="1" applyFill="1" applyAlignment="1">
      <alignment horizontal="center" vertical="center"/>
    </xf>
    <xf numFmtId="0" fontId="2" fillId="3" borderId="40" xfId="0" applyFont="1" applyFill="1" applyBorder="1" applyAlignment="1">
      <alignment horizontal="left"/>
    </xf>
    <xf numFmtId="0" fontId="2" fillId="3" borderId="31" xfId="0" applyFont="1" applyFill="1" applyBorder="1" applyAlignment="1">
      <alignment horizontal="left"/>
    </xf>
    <xf numFmtId="0" fontId="2" fillId="3" borderId="38" xfId="0" applyFont="1" applyFill="1" applyBorder="1" applyAlignment="1">
      <alignment horizontal="left"/>
    </xf>
    <xf numFmtId="0" fontId="2" fillId="0" borderId="9" xfId="0" applyFont="1" applyBorder="1" applyAlignment="1" applyProtection="1">
      <alignment horizontal="left"/>
      <protection locked="0"/>
    </xf>
    <xf numFmtId="0" fontId="2" fillId="0" borderId="1" xfId="0" applyFont="1" applyBorder="1" applyAlignment="1" applyProtection="1">
      <alignment horizontal="left"/>
      <protection locked="0"/>
    </xf>
    <xf numFmtId="0" fontId="2" fillId="0" borderId="58" xfId="0" applyFont="1" applyBorder="1" applyAlignment="1">
      <alignment horizontal="center"/>
    </xf>
    <xf numFmtId="0" fontId="1" fillId="0" borderId="56" xfId="0" applyFont="1" applyBorder="1" applyAlignment="1">
      <alignment horizontal="center"/>
    </xf>
    <xf numFmtId="0" fontId="2" fillId="0" borderId="49" xfId="0" applyFont="1" applyBorder="1" applyAlignment="1">
      <alignment horizontal="center"/>
    </xf>
    <xf numFmtId="0" fontId="3" fillId="18" borderId="30" xfId="0" applyFont="1" applyFill="1" applyBorder="1" applyAlignment="1">
      <alignment horizontal="left"/>
    </xf>
    <xf numFmtId="0" fontId="3" fillId="18" borderId="31" xfId="0" applyFont="1" applyFill="1" applyBorder="1" applyAlignment="1">
      <alignment horizontal="left"/>
    </xf>
    <xf numFmtId="0" fontId="2" fillId="18" borderId="45" xfId="0" applyFont="1" applyFill="1" applyBorder="1" applyAlignment="1">
      <alignment horizontal="left"/>
    </xf>
    <xf numFmtId="0" fontId="2" fillId="18" borderId="29" xfId="0" applyFont="1" applyFill="1" applyBorder="1" applyAlignment="1">
      <alignment horizontal="left"/>
    </xf>
    <xf numFmtId="0" fontId="2" fillId="18" borderId="28" xfId="0" applyFont="1" applyFill="1" applyBorder="1" applyAlignment="1">
      <alignment horizontal="left"/>
    </xf>
    <xf numFmtId="0" fontId="2" fillId="18" borderId="26" xfId="0" applyFont="1" applyFill="1" applyBorder="1" applyAlignment="1">
      <alignment horizontal="left"/>
    </xf>
    <xf numFmtId="0" fontId="2" fillId="18" borderId="5" xfId="0" applyFont="1" applyFill="1" applyBorder="1" applyAlignment="1">
      <alignment horizontal="left"/>
    </xf>
    <xf numFmtId="0" fontId="2" fillId="18" borderId="3" xfId="0" applyFont="1" applyFill="1" applyBorder="1" applyAlignment="1">
      <alignment horizontal="left"/>
    </xf>
    <xf numFmtId="0" fontId="2" fillId="18" borderId="32" xfId="0" applyFont="1" applyFill="1" applyBorder="1" applyAlignment="1">
      <alignment horizontal="left"/>
    </xf>
    <xf numFmtId="0" fontId="2" fillId="18" borderId="16" xfId="0" applyFont="1" applyFill="1" applyBorder="1" applyAlignment="1">
      <alignment horizontal="left"/>
    </xf>
    <xf numFmtId="0" fontId="2" fillId="18" borderId="33" xfId="0" applyFont="1" applyFill="1" applyBorder="1" applyAlignment="1">
      <alignment horizontal="left"/>
    </xf>
    <xf numFmtId="0" fontId="2" fillId="0" borderId="26" xfId="0" applyFont="1" applyBorder="1" applyAlignment="1" applyProtection="1">
      <alignment horizontal="left"/>
      <protection locked="0"/>
    </xf>
    <xf numFmtId="0" fontId="2" fillId="0" borderId="5" xfId="0" applyFont="1" applyBorder="1" applyAlignment="1" applyProtection="1">
      <alignment horizontal="left"/>
      <protection locked="0"/>
    </xf>
    <xf numFmtId="0" fontId="2" fillId="0" borderId="42" xfId="0" applyFont="1" applyBorder="1" applyAlignment="1" applyProtection="1">
      <alignment horizontal="left"/>
      <protection locked="0"/>
    </xf>
    <xf numFmtId="0" fontId="2" fillId="0" borderId="32" xfId="0" applyFont="1" applyBorder="1" applyAlignment="1" applyProtection="1">
      <alignment horizontal="left"/>
      <protection locked="0"/>
    </xf>
    <xf numFmtId="0" fontId="2" fillId="0" borderId="16" xfId="0" applyFont="1" applyBorder="1" applyAlignment="1" applyProtection="1">
      <alignment horizontal="left"/>
      <protection locked="0"/>
    </xf>
    <xf numFmtId="0" fontId="2" fillId="0" borderId="41" xfId="0" applyFont="1" applyBorder="1" applyAlignment="1" applyProtection="1">
      <alignment horizontal="left"/>
      <protection locked="0"/>
    </xf>
    <xf numFmtId="0" fontId="2" fillId="18" borderId="19" xfId="0" applyFont="1" applyFill="1" applyBorder="1" applyAlignment="1">
      <alignment horizontal="left" shrinkToFit="1"/>
    </xf>
    <xf numFmtId="0" fontId="2" fillId="18" borderId="28" xfId="0" applyFont="1" applyFill="1" applyBorder="1" applyAlignment="1">
      <alignment horizontal="left" shrinkToFit="1"/>
    </xf>
    <xf numFmtId="0" fontId="2" fillId="18" borderId="2" xfId="0" applyFont="1" applyFill="1" applyBorder="1" applyAlignment="1">
      <alignment horizontal="left" shrinkToFit="1"/>
    </xf>
    <xf numFmtId="0" fontId="2" fillId="18" borderId="3" xfId="0" applyFont="1" applyFill="1" applyBorder="1" applyAlignment="1">
      <alignment horizontal="left" shrinkToFit="1"/>
    </xf>
    <xf numFmtId="0" fontId="2" fillId="18" borderId="15" xfId="0" applyFont="1" applyFill="1" applyBorder="1" applyAlignment="1">
      <alignment horizontal="left" shrinkToFit="1"/>
    </xf>
    <xf numFmtId="0" fontId="2" fillId="18" borderId="33" xfId="0" applyFont="1" applyFill="1" applyBorder="1" applyAlignment="1">
      <alignment horizontal="left" shrinkToFit="1"/>
    </xf>
    <xf numFmtId="0" fontId="2" fillId="3" borderId="15" xfId="0" applyFont="1" applyFill="1" applyBorder="1" applyAlignment="1">
      <alignment horizontal="left"/>
    </xf>
    <xf numFmtId="0" fontId="2" fillId="3" borderId="33" xfId="0" applyFont="1" applyFill="1" applyBorder="1" applyAlignment="1">
      <alignment horizontal="left"/>
    </xf>
    <xf numFmtId="0" fontId="2" fillId="18" borderId="16" xfId="0" applyFont="1" applyFill="1" applyBorder="1" applyAlignment="1">
      <alignment horizontal="left" shrinkToFit="1"/>
    </xf>
    <xf numFmtId="0" fontId="2" fillId="18" borderId="41" xfId="0" applyFont="1" applyFill="1" applyBorder="1" applyAlignment="1">
      <alignment horizontal="left" shrinkToFit="1"/>
    </xf>
    <xf numFmtId="0" fontId="1" fillId="6" borderId="34" xfId="0" applyFont="1" applyFill="1" applyBorder="1" applyAlignment="1">
      <alignment horizontal="center"/>
    </xf>
    <xf numFmtId="0" fontId="1" fillId="6" borderId="35" xfId="0" applyFont="1" applyFill="1" applyBorder="1" applyAlignment="1">
      <alignment horizontal="center"/>
    </xf>
    <xf numFmtId="0" fontId="1" fillId="6" borderId="36" xfId="0" applyFont="1" applyFill="1" applyBorder="1" applyAlignment="1">
      <alignment horizontal="center"/>
    </xf>
    <xf numFmtId="0" fontId="3" fillId="18" borderId="38" xfId="0" applyFont="1" applyFill="1" applyBorder="1" applyAlignment="1">
      <alignment horizontal="left"/>
    </xf>
    <xf numFmtId="0" fontId="2" fillId="3" borderId="13" xfId="0" applyFont="1" applyFill="1" applyBorder="1" applyAlignment="1">
      <alignment horizontal="left"/>
    </xf>
    <xf numFmtId="0" fontId="2" fillId="0" borderId="3" xfId="0" applyFont="1" applyBorder="1" applyAlignment="1" applyProtection="1">
      <alignment horizontal="left"/>
      <protection locked="0"/>
    </xf>
    <xf numFmtId="0" fontId="2" fillId="3" borderId="25" xfId="0" applyFont="1" applyFill="1" applyBorder="1"/>
    <xf numFmtId="0" fontId="2" fillId="3" borderId="27" xfId="0" applyFont="1" applyFill="1" applyBorder="1"/>
    <xf numFmtId="0" fontId="2" fillId="3" borderId="6" xfId="0" applyFont="1" applyFill="1" applyBorder="1"/>
    <xf numFmtId="0" fontId="7" fillId="2" borderId="37" xfId="0" applyFont="1" applyFill="1" applyBorder="1" applyAlignment="1">
      <alignment horizontal="center"/>
    </xf>
    <xf numFmtId="0" fontId="7" fillId="2" borderId="24" xfId="0" applyFont="1" applyFill="1" applyBorder="1" applyAlignment="1">
      <alignment horizontal="center"/>
    </xf>
    <xf numFmtId="0" fontId="7" fillId="2" borderId="39" xfId="0" applyFont="1" applyFill="1" applyBorder="1" applyAlignment="1">
      <alignment horizontal="center"/>
    </xf>
    <xf numFmtId="0" fontId="2" fillId="0" borderId="35" xfId="0" applyFont="1" applyBorder="1" applyAlignment="1">
      <alignment horizontal="center"/>
    </xf>
    <xf numFmtId="0" fontId="4" fillId="0" borderId="0" xfId="0" applyFont="1" applyAlignment="1">
      <alignment horizontal="center"/>
    </xf>
    <xf numFmtId="0" fontId="2" fillId="18" borderId="40" xfId="0" applyFont="1" applyFill="1" applyBorder="1" applyAlignment="1">
      <alignment horizontal="left"/>
    </xf>
    <xf numFmtId="0" fontId="2" fillId="18" borderId="38" xfId="0" applyFont="1" applyFill="1" applyBorder="1" applyAlignment="1">
      <alignment horizontal="left"/>
    </xf>
    <xf numFmtId="0" fontId="2" fillId="18" borderId="2" xfId="0" applyFont="1" applyFill="1" applyBorder="1" applyAlignment="1">
      <alignment horizontal="left"/>
    </xf>
    <xf numFmtId="0" fontId="2" fillId="0" borderId="5" xfId="0" applyFont="1" applyBorder="1" applyAlignment="1">
      <alignment horizontal="left"/>
    </xf>
    <xf numFmtId="0" fontId="2" fillId="0" borderId="42" xfId="0" applyFont="1" applyBorder="1" applyAlignment="1">
      <alignment horizontal="left"/>
    </xf>
    <xf numFmtId="0" fontId="2" fillId="0" borderId="26" xfId="0" applyFont="1" applyBorder="1" applyAlignment="1" applyProtection="1">
      <alignment horizontal="right" shrinkToFit="1"/>
      <protection locked="0"/>
    </xf>
    <xf numFmtId="0" fontId="2" fillId="0" borderId="5" xfId="0" applyFont="1" applyBorder="1" applyAlignment="1" applyProtection="1">
      <alignment horizontal="right" shrinkToFit="1"/>
      <protection locked="0"/>
    </xf>
    <xf numFmtId="0" fontId="2" fillId="0" borderId="16" xfId="0" applyFont="1" applyBorder="1" applyAlignment="1">
      <alignment horizontal="left"/>
    </xf>
    <xf numFmtId="0" fontId="2" fillId="0" borderId="41" xfId="0" applyFont="1" applyBorder="1" applyAlignment="1">
      <alignment horizontal="left"/>
    </xf>
    <xf numFmtId="0" fontId="2" fillId="0" borderId="1" xfId="0" applyFont="1" applyBorder="1" applyAlignment="1" applyProtection="1">
      <alignment horizontal="right" shrinkToFit="1"/>
      <protection locked="0"/>
    </xf>
    <xf numFmtId="0" fontId="2" fillId="0" borderId="10" xfId="0" applyFont="1" applyBorder="1" applyAlignment="1" applyProtection="1">
      <alignment horizontal="right"/>
      <protection locked="0"/>
    </xf>
    <xf numFmtId="0" fontId="2" fillId="3" borderId="2" xfId="0" applyFont="1" applyFill="1" applyBorder="1" applyAlignment="1">
      <alignment horizontal="left"/>
    </xf>
    <xf numFmtId="0" fontId="2" fillId="3" borderId="3" xfId="0" applyFont="1" applyFill="1" applyBorder="1" applyAlignment="1">
      <alignment horizontal="left"/>
    </xf>
    <xf numFmtId="0" fontId="2" fillId="3" borderId="2" xfId="0" quotePrefix="1" applyFont="1" applyFill="1" applyBorder="1" applyAlignment="1">
      <alignment horizontal="left"/>
    </xf>
    <xf numFmtId="0" fontId="2" fillId="3" borderId="5" xfId="0" quotePrefix="1" applyFont="1" applyFill="1" applyBorder="1" applyAlignment="1">
      <alignment horizontal="left"/>
    </xf>
    <xf numFmtId="0" fontId="2" fillId="3" borderId="3" xfId="0" quotePrefix="1" applyFont="1" applyFill="1" applyBorder="1" applyAlignment="1">
      <alignment horizontal="left"/>
    </xf>
    <xf numFmtId="0" fontId="2" fillId="3" borderId="5" xfId="0" applyFont="1" applyFill="1" applyBorder="1" applyAlignment="1">
      <alignment horizontal="left"/>
    </xf>
    <xf numFmtId="0" fontId="2" fillId="3" borderId="16" xfId="0" applyFont="1" applyFill="1" applyBorder="1" applyAlignment="1">
      <alignment horizontal="left"/>
    </xf>
    <xf numFmtId="0" fontId="2" fillId="3" borderId="1" xfId="0" applyFont="1" applyFill="1" applyBorder="1" applyAlignment="1">
      <alignment horizontal="left"/>
    </xf>
    <xf numFmtId="0" fontId="2" fillId="3" borderId="14" xfId="0" applyFont="1" applyFill="1" applyBorder="1" applyAlignment="1">
      <alignment horizontal="left"/>
    </xf>
    <xf numFmtId="0" fontId="2" fillId="18" borderId="19" xfId="0" applyFont="1" applyFill="1" applyBorder="1" applyAlignment="1">
      <alignment horizontal="left"/>
    </xf>
    <xf numFmtId="0" fontId="2" fillId="18" borderId="15" xfId="0" applyFont="1" applyFill="1" applyBorder="1" applyAlignment="1">
      <alignment horizontal="left"/>
    </xf>
    <xf numFmtId="0" fontId="2" fillId="0" borderId="14" xfId="0" quotePrefix="1" applyFont="1" applyBorder="1" applyAlignment="1" applyProtection="1">
      <alignment horizontal="left"/>
      <protection locked="0"/>
    </xf>
    <xf numFmtId="0" fontId="2" fillId="0" borderId="12" xfId="0" quotePrefix="1" applyFont="1" applyBorder="1" applyAlignment="1" applyProtection="1">
      <alignment horizontal="left"/>
      <protection locked="0"/>
    </xf>
    <xf numFmtId="0" fontId="2" fillId="3" borderId="1" xfId="0" quotePrefix="1" applyFont="1" applyFill="1" applyBorder="1" applyAlignment="1">
      <alignment horizontal="left"/>
    </xf>
    <xf numFmtId="0" fontId="2" fillId="0" borderId="10" xfId="0" applyFont="1" applyBorder="1" applyAlignment="1" applyProtection="1">
      <alignment horizontal="left"/>
      <protection locked="0"/>
    </xf>
    <xf numFmtId="0" fontId="2" fillId="18" borderId="9" xfId="0" applyFont="1" applyFill="1" applyBorder="1" applyAlignment="1">
      <alignment horizontal="left" shrinkToFit="1"/>
    </xf>
    <xf numFmtId="0" fontId="2" fillId="18" borderId="1" xfId="0" applyFont="1" applyFill="1" applyBorder="1" applyAlignment="1">
      <alignment horizontal="left" shrinkToFit="1"/>
    </xf>
    <xf numFmtId="0" fontId="2" fillId="3" borderId="7" xfId="0" applyFont="1" applyFill="1" applyBorder="1" applyAlignment="1">
      <alignment horizontal="center"/>
    </xf>
    <xf numFmtId="0" fontId="2" fillId="3" borderId="13" xfId="0" applyFont="1" applyFill="1" applyBorder="1" applyAlignment="1">
      <alignment horizontal="center"/>
    </xf>
    <xf numFmtId="0" fontId="2" fillId="0" borderId="1" xfId="0" quotePrefix="1" applyFont="1" applyBorder="1" applyAlignment="1" applyProtection="1">
      <alignment horizontal="left"/>
      <protection locked="0"/>
    </xf>
    <xf numFmtId="0" fontId="2" fillId="0" borderId="14" xfId="0" applyFont="1" applyBorder="1" applyAlignment="1" applyProtection="1">
      <alignment horizontal="left"/>
      <protection locked="0"/>
    </xf>
    <xf numFmtId="0" fontId="2" fillId="3" borderId="14" xfId="0" quotePrefix="1" applyFont="1" applyFill="1" applyBorder="1" applyAlignment="1">
      <alignment horizontal="left"/>
    </xf>
    <xf numFmtId="0" fontId="1" fillId="0" borderId="63" xfId="0" applyFont="1" applyBorder="1" applyAlignment="1">
      <alignment horizontal="center"/>
    </xf>
    <xf numFmtId="0" fontId="2" fillId="0" borderId="20" xfId="0" applyFont="1" applyBorder="1" applyAlignment="1" applyProtection="1">
      <alignment horizontal="left"/>
      <protection locked="0"/>
    </xf>
    <xf numFmtId="0" fontId="2" fillId="0" borderId="18" xfId="0" applyFont="1" applyBorder="1" applyAlignment="1" applyProtection="1">
      <alignment horizontal="left"/>
      <protection locked="0"/>
    </xf>
    <xf numFmtId="0" fontId="2" fillId="3" borderId="9" xfId="0" applyFont="1" applyFill="1" applyBorder="1" applyAlignment="1">
      <alignment horizontal="left"/>
    </xf>
    <xf numFmtId="0" fontId="2" fillId="18" borderId="40" xfId="0" applyFont="1" applyFill="1" applyBorder="1" applyAlignment="1">
      <alignment horizontal="right"/>
    </xf>
    <xf numFmtId="0" fontId="2" fillId="18" borderId="38" xfId="0" applyFont="1" applyFill="1" applyBorder="1" applyAlignment="1">
      <alignment horizontal="right"/>
    </xf>
    <xf numFmtId="0" fontId="2" fillId="3" borderId="11" xfId="0" applyFont="1" applyFill="1" applyBorder="1"/>
    <xf numFmtId="0" fontId="2" fillId="3" borderId="14" xfId="0" applyFont="1" applyFill="1" applyBorder="1"/>
    <xf numFmtId="0" fontId="2" fillId="3" borderId="9" xfId="0" applyFont="1" applyFill="1" applyBorder="1"/>
    <xf numFmtId="0" fontId="2" fillId="3" borderId="1" xfId="0" applyFont="1" applyFill="1" applyBorder="1"/>
    <xf numFmtId="0" fontId="2" fillId="3" borderId="9" xfId="0" quotePrefix="1" applyFont="1" applyFill="1" applyBorder="1" applyAlignment="1">
      <alignment horizontal="left"/>
    </xf>
    <xf numFmtId="0" fontId="2" fillId="3" borderId="11" xfId="0" quotePrefix="1" applyFont="1" applyFill="1" applyBorder="1" applyAlignment="1">
      <alignment horizontal="left"/>
    </xf>
    <xf numFmtId="0" fontId="2" fillId="3" borderId="5" xfId="0" applyFont="1" applyFill="1" applyBorder="1"/>
    <xf numFmtId="0" fontId="2" fillId="3" borderId="3" xfId="0" applyFont="1" applyFill="1" applyBorder="1"/>
    <xf numFmtId="0" fontId="1" fillId="6" borderId="37" xfId="0" applyFont="1" applyFill="1" applyBorder="1" applyAlignment="1">
      <alignment horizontal="center"/>
    </xf>
    <xf numFmtId="0" fontId="1" fillId="6" borderId="24" xfId="0" applyFont="1" applyFill="1" applyBorder="1" applyAlignment="1">
      <alignment horizontal="center"/>
    </xf>
    <xf numFmtId="0" fontId="1" fillId="6" borderId="39" xfId="0" applyFont="1" applyFill="1" applyBorder="1" applyAlignment="1">
      <alignment horizontal="center"/>
    </xf>
    <xf numFmtId="0" fontId="2" fillId="3" borderId="7" xfId="0" applyFont="1" applyFill="1" applyBorder="1"/>
    <xf numFmtId="0" fontId="2" fillId="3" borderId="13" xfId="0" applyFont="1" applyFill="1" applyBorder="1"/>
    <xf numFmtId="0" fontId="2" fillId="3" borderId="9" xfId="0" quotePrefix="1" applyFont="1" applyFill="1" applyBorder="1"/>
    <xf numFmtId="0" fontId="2" fillId="3" borderId="38" xfId="0" applyFont="1" applyFill="1" applyBorder="1"/>
    <xf numFmtId="0" fontId="2" fillId="18" borderId="5" xfId="0" applyFont="1" applyFill="1" applyBorder="1" applyAlignment="1">
      <alignment horizontal="left" shrinkToFit="1"/>
    </xf>
    <xf numFmtId="0" fontId="2" fillId="3" borderId="46" xfId="0" quotePrefix="1" applyFont="1" applyFill="1" applyBorder="1"/>
    <xf numFmtId="0" fontId="2" fillId="3" borderId="9" xfId="0" applyFont="1" applyFill="1" applyBorder="1" applyAlignment="1">
      <alignment horizontal="center"/>
    </xf>
    <xf numFmtId="0" fontId="2" fillId="3" borderId="3" xfId="0" applyFont="1" applyFill="1" applyBorder="1" applyAlignment="1">
      <alignment horizontal="center"/>
    </xf>
    <xf numFmtId="0" fontId="2" fillId="3" borderId="1" xfId="0" applyFont="1" applyFill="1" applyBorder="1" applyAlignment="1">
      <alignment horizontal="center"/>
    </xf>
    <xf numFmtId="0" fontId="2" fillId="3" borderId="33" xfId="0" quotePrefix="1" applyFont="1" applyFill="1" applyBorder="1" applyAlignment="1">
      <alignment horizontal="left"/>
    </xf>
    <xf numFmtId="0" fontId="2" fillId="3" borderId="30" xfId="0" applyFont="1" applyFill="1" applyBorder="1" applyAlignment="1">
      <alignment horizontal="center"/>
    </xf>
    <xf numFmtId="0" fontId="2" fillId="3" borderId="31" xfId="0" applyFont="1" applyFill="1" applyBorder="1" applyAlignment="1">
      <alignment horizontal="center"/>
    </xf>
    <xf numFmtId="0" fontId="2" fillId="3" borderId="38" xfId="0" applyFont="1" applyFill="1" applyBorder="1" applyAlignment="1">
      <alignment horizontal="center"/>
    </xf>
    <xf numFmtId="0" fontId="7" fillId="2" borderId="34" xfId="0" applyFont="1" applyFill="1" applyBorder="1" applyAlignment="1">
      <alignment horizontal="center"/>
    </xf>
    <xf numFmtId="0" fontId="7" fillId="2" borderId="35" xfId="0" applyFont="1" applyFill="1" applyBorder="1" applyAlignment="1">
      <alignment horizontal="center"/>
    </xf>
    <xf numFmtId="0" fontId="7" fillId="2" borderId="36" xfId="0" applyFont="1" applyFill="1" applyBorder="1" applyAlignment="1">
      <alignment horizontal="center"/>
    </xf>
    <xf numFmtId="0" fontId="1" fillId="6" borderId="21" xfId="0" applyFont="1" applyFill="1" applyBorder="1" applyAlignment="1">
      <alignment horizontal="center"/>
    </xf>
    <xf numFmtId="0" fontId="1" fillId="6" borderId="23" xfId="0" applyFont="1" applyFill="1" applyBorder="1" applyAlignment="1">
      <alignment horizontal="center"/>
    </xf>
    <xf numFmtId="0" fontId="2" fillId="3" borderId="17" xfId="0" applyFont="1" applyFill="1" applyBorder="1" applyAlignment="1">
      <alignment horizontal="left"/>
    </xf>
    <xf numFmtId="0" fontId="2" fillId="3" borderId="20" xfId="0" applyFont="1" applyFill="1" applyBorder="1" applyAlignment="1">
      <alignment horizontal="left"/>
    </xf>
    <xf numFmtId="0" fontId="2" fillId="0" borderId="2" xfId="0" applyFont="1" applyBorder="1" applyAlignment="1" applyProtection="1">
      <alignment horizontal="left"/>
      <protection locked="0"/>
    </xf>
    <xf numFmtId="0" fontId="2" fillId="18" borderId="1" xfId="0" applyFont="1" applyFill="1" applyBorder="1" applyAlignment="1">
      <alignment horizontal="left"/>
    </xf>
    <xf numFmtId="0" fontId="4" fillId="0" borderId="49" xfId="0" applyFont="1" applyBorder="1" applyAlignment="1">
      <alignment horizontal="center"/>
    </xf>
    <xf numFmtId="0" fontId="2" fillId="18" borderId="11" xfId="0" applyFont="1" applyFill="1" applyBorder="1" applyAlignment="1">
      <alignment horizontal="left" shrinkToFit="1"/>
    </xf>
    <xf numFmtId="0" fontId="2" fillId="18" borderId="14" xfId="0" applyFont="1" applyFill="1" applyBorder="1" applyAlignment="1">
      <alignment horizontal="left" shrinkToFit="1"/>
    </xf>
    <xf numFmtId="0" fontId="2" fillId="3" borderId="26" xfId="0" applyFont="1" applyFill="1" applyBorder="1"/>
    <xf numFmtId="0" fontId="2" fillId="3" borderId="15" xfId="0" applyFont="1" applyFill="1" applyBorder="1"/>
    <xf numFmtId="0" fontId="2" fillId="3" borderId="16" xfId="0" applyFont="1" applyFill="1" applyBorder="1"/>
    <xf numFmtId="0" fontId="2" fillId="3" borderId="33" xfId="0" applyFont="1" applyFill="1" applyBorder="1"/>
    <xf numFmtId="0" fontId="2" fillId="3" borderId="19" xfId="0" applyFont="1" applyFill="1" applyBorder="1"/>
    <xf numFmtId="0" fontId="2" fillId="3" borderId="29" xfId="0" applyFont="1" applyFill="1" applyBorder="1"/>
    <xf numFmtId="0" fontId="2" fillId="3" borderId="28" xfId="0" applyFont="1" applyFill="1" applyBorder="1"/>
    <xf numFmtId="0" fontId="2" fillId="3" borderId="2" xfId="0" applyFont="1" applyFill="1" applyBorder="1"/>
    <xf numFmtId="0" fontId="2" fillId="3" borderId="32" xfId="0" applyFont="1" applyFill="1" applyBorder="1"/>
    <xf numFmtId="0" fontId="1" fillId="6" borderId="54" xfId="0" applyFont="1" applyFill="1" applyBorder="1" applyAlignment="1">
      <alignment horizontal="center"/>
    </xf>
    <xf numFmtId="0" fontId="1" fillId="6" borderId="49" xfId="0" applyFont="1" applyFill="1" applyBorder="1" applyAlignment="1">
      <alignment horizontal="center"/>
    </xf>
    <xf numFmtId="0" fontId="1" fillId="6" borderId="50" xfId="0" applyFont="1" applyFill="1" applyBorder="1" applyAlignment="1">
      <alignment horizontal="center"/>
    </xf>
    <xf numFmtId="0" fontId="2" fillId="3" borderId="26" xfId="0" applyFont="1" applyFill="1" applyBorder="1" applyAlignment="1">
      <alignment horizontal="left"/>
    </xf>
    <xf numFmtId="0" fontId="2" fillId="3" borderId="32" xfId="0" applyFont="1" applyFill="1" applyBorder="1" applyAlignment="1">
      <alignment horizontal="left"/>
    </xf>
    <xf numFmtId="0" fontId="2" fillId="0" borderId="30" xfId="0" applyFont="1" applyBorder="1" applyAlignment="1" applyProtection="1">
      <alignment horizontal="left"/>
      <protection locked="0"/>
    </xf>
    <xf numFmtId="0" fontId="2" fillId="0" borderId="31" xfId="0" applyFont="1" applyBorder="1" applyAlignment="1" applyProtection="1">
      <alignment horizontal="left"/>
      <protection locked="0"/>
    </xf>
    <xf numFmtId="0" fontId="2" fillId="0" borderId="43" xfId="0" applyFont="1" applyBorder="1" applyAlignment="1" applyProtection="1">
      <alignment horizontal="left"/>
      <protection locked="0"/>
    </xf>
    <xf numFmtId="0" fontId="2" fillId="3" borderId="6" xfId="0" applyFont="1" applyFill="1" applyBorder="1" applyAlignment="1">
      <alignment horizontal="left"/>
    </xf>
    <xf numFmtId="0" fontId="2" fillId="0" borderId="11" xfId="0" applyFont="1" applyBorder="1" applyAlignment="1" applyProtection="1">
      <alignment horizontal="left"/>
      <protection locked="0"/>
    </xf>
    <xf numFmtId="0" fontId="2" fillId="0" borderId="12" xfId="0" applyFont="1" applyBorder="1" applyAlignment="1" applyProtection="1">
      <alignment horizontal="left"/>
      <protection locked="0"/>
    </xf>
    <xf numFmtId="0" fontId="2" fillId="0" borderId="1" xfId="0" applyFont="1" applyBorder="1" applyAlignment="1" applyProtection="1">
      <alignment horizontal="center"/>
      <protection locked="0"/>
    </xf>
    <xf numFmtId="0" fontId="2" fillId="3" borderId="30" xfId="0" applyFont="1" applyFill="1" applyBorder="1" applyAlignment="1">
      <alignment horizontal="left"/>
    </xf>
    <xf numFmtId="0" fontId="2" fillId="0" borderId="6" xfId="0" applyFont="1" applyBorder="1" applyAlignment="1" applyProtection="1">
      <alignment horizontal="left"/>
      <protection locked="0"/>
    </xf>
    <xf numFmtId="0" fontId="2" fillId="3" borderId="21" xfId="0" applyFont="1" applyFill="1" applyBorder="1" applyAlignment="1">
      <alignment horizontal="center"/>
    </xf>
    <xf numFmtId="0" fontId="2" fillId="3" borderId="22" xfId="0" applyFont="1" applyFill="1" applyBorder="1" applyAlignment="1">
      <alignment horizontal="center"/>
    </xf>
    <xf numFmtId="0" fontId="2" fillId="18" borderId="22" xfId="0" applyFont="1" applyFill="1" applyBorder="1" applyAlignment="1">
      <alignment horizontal="center"/>
    </xf>
    <xf numFmtId="0" fontId="2" fillId="0" borderId="13" xfId="0" applyFont="1" applyBorder="1" applyAlignment="1" applyProtection="1">
      <alignment horizontal="left"/>
      <protection locked="0"/>
    </xf>
    <xf numFmtId="0" fontId="2" fillId="0" borderId="8" xfId="0" applyFont="1" applyBorder="1" applyAlignment="1" applyProtection="1">
      <alignment horizontal="left"/>
      <protection locked="0"/>
    </xf>
    <xf numFmtId="0" fontId="2" fillId="0" borderId="46" xfId="0" applyFont="1" applyBorder="1" applyAlignment="1" applyProtection="1">
      <alignment horizontal="left"/>
      <protection locked="0"/>
    </xf>
    <xf numFmtId="0" fontId="2" fillId="3" borderId="17" xfId="0" applyFont="1" applyFill="1" applyBorder="1" applyAlignment="1">
      <alignment horizontal="center"/>
    </xf>
    <xf numFmtId="0" fontId="2" fillId="3" borderId="20" xfId="0" applyFont="1" applyFill="1" applyBorder="1" applyAlignment="1">
      <alignment horizontal="center"/>
    </xf>
    <xf numFmtId="0" fontId="2" fillId="3" borderId="18" xfId="0" applyFont="1" applyFill="1" applyBorder="1" applyAlignment="1">
      <alignment horizontal="center"/>
    </xf>
    <xf numFmtId="0" fontId="2" fillId="0" borderId="33" xfId="0" applyFont="1" applyBorder="1" applyAlignment="1" applyProtection="1">
      <alignment horizontal="left"/>
      <protection locked="0"/>
    </xf>
    <xf numFmtId="0" fontId="2" fillId="18" borderId="35" xfId="0" applyFont="1" applyFill="1" applyBorder="1" applyAlignment="1">
      <alignment horizontal="left"/>
    </xf>
    <xf numFmtId="0" fontId="2" fillId="18" borderId="36" xfId="0" applyFont="1" applyFill="1" applyBorder="1" applyAlignment="1">
      <alignment horizontal="left"/>
    </xf>
    <xf numFmtId="0" fontId="2" fillId="18" borderId="34" xfId="0" applyFont="1" applyFill="1" applyBorder="1" applyAlignment="1">
      <alignment horizontal="right" shrinkToFit="1"/>
    </xf>
    <xf numFmtId="0" fontId="2" fillId="18" borderId="35" xfId="0" applyFont="1" applyFill="1" applyBorder="1" applyAlignment="1">
      <alignment horizontal="right" shrinkToFit="1"/>
    </xf>
    <xf numFmtId="0" fontId="2" fillId="3" borderId="4" xfId="0" applyFont="1" applyFill="1" applyBorder="1" applyAlignment="1">
      <alignment horizontal="left"/>
    </xf>
    <xf numFmtId="0" fontId="2" fillId="3" borderId="0" xfId="0" applyFont="1" applyFill="1" applyAlignment="1">
      <alignment horizontal="left"/>
    </xf>
    <xf numFmtId="0" fontId="2" fillId="3" borderId="17" xfId="0" applyFont="1" applyFill="1" applyBorder="1"/>
    <xf numFmtId="0" fontId="2" fillId="3" borderId="20" xfId="0" applyFont="1" applyFill="1" applyBorder="1"/>
    <xf numFmtId="0" fontId="2" fillId="0" borderId="17" xfId="0" applyFont="1" applyBorder="1" applyAlignment="1" applyProtection="1">
      <alignment horizontal="left"/>
      <protection locked="0"/>
    </xf>
    <xf numFmtId="0" fontId="2" fillId="3" borderId="37" xfId="0" applyFont="1" applyFill="1" applyBorder="1" applyAlignment="1">
      <alignment horizontal="center"/>
    </xf>
    <xf numFmtId="0" fontId="2" fillId="3" borderId="24" xfId="0" applyFont="1" applyFill="1" applyBorder="1" applyAlignment="1">
      <alignment horizontal="center"/>
    </xf>
    <xf numFmtId="0" fontId="2" fillId="3" borderId="39" xfId="0" applyFont="1" applyFill="1" applyBorder="1" applyAlignment="1">
      <alignment horizontal="center"/>
    </xf>
    <xf numFmtId="0" fontId="2" fillId="3" borderId="43" xfId="0" applyFont="1" applyFill="1" applyBorder="1" applyAlignment="1">
      <alignment horizontal="center"/>
    </xf>
    <xf numFmtId="0" fontId="0" fillId="18" borderId="54" xfId="0" applyFill="1" applyBorder="1" applyAlignment="1">
      <alignment horizontal="left" vertical="center" wrapText="1"/>
    </xf>
    <xf numFmtId="0" fontId="0" fillId="18" borderId="49" xfId="0" applyFill="1" applyBorder="1" applyAlignment="1">
      <alignment horizontal="left" vertical="center" wrapText="1"/>
    </xf>
    <xf numFmtId="0" fontId="0" fillId="18" borderId="50" xfId="0" applyFill="1" applyBorder="1" applyAlignment="1">
      <alignment horizontal="left" vertical="center" wrapText="1"/>
    </xf>
    <xf numFmtId="0" fontId="0" fillId="18" borderId="55" xfId="0" applyFill="1" applyBorder="1" applyAlignment="1">
      <alignment horizontal="left" vertical="center" wrapText="1"/>
    </xf>
    <xf numFmtId="0" fontId="0" fillId="18" borderId="0" xfId="0" applyFill="1" applyAlignment="1">
      <alignment horizontal="left" vertical="center" wrapText="1"/>
    </xf>
    <xf numFmtId="0" fontId="0" fillId="18" borderId="56" xfId="0" applyFill="1" applyBorder="1" applyAlignment="1">
      <alignment horizontal="left" vertical="center" wrapText="1"/>
    </xf>
    <xf numFmtId="0" fontId="0" fillId="18" borderId="57" xfId="0" applyFill="1" applyBorder="1" applyAlignment="1">
      <alignment horizontal="left" vertical="center" wrapText="1"/>
    </xf>
    <xf numFmtId="0" fontId="0" fillId="18" borderId="58" xfId="0" applyFill="1" applyBorder="1" applyAlignment="1">
      <alignment horizontal="left" vertical="center" wrapText="1"/>
    </xf>
    <xf numFmtId="0" fontId="0" fillId="18" borderId="59" xfId="0" applyFill="1" applyBorder="1" applyAlignment="1">
      <alignment horizontal="left" vertical="center" wrapText="1"/>
    </xf>
    <xf numFmtId="0" fontId="0" fillId="19" borderId="7" xfId="0" applyFill="1" applyBorder="1" applyAlignment="1">
      <alignment horizontal="center"/>
    </xf>
    <xf numFmtId="0" fontId="0" fillId="19" borderId="13" xfId="0" applyFill="1" applyBorder="1" applyAlignment="1">
      <alignment horizontal="center"/>
    </xf>
    <xf numFmtId="0" fontId="0" fillId="19" borderId="9" xfId="0" applyFill="1" applyBorder="1" applyAlignment="1">
      <alignment horizontal="center"/>
    </xf>
    <xf numFmtId="0" fontId="0" fillId="19" borderId="1" xfId="0" applyFill="1" applyBorder="1" applyAlignment="1">
      <alignment horizontal="center"/>
    </xf>
    <xf numFmtId="0" fontId="2" fillId="5" borderId="13" xfId="0" applyFont="1" applyFill="1" applyBorder="1" applyAlignment="1">
      <alignment horizontal="center" vertical="center" wrapText="1"/>
    </xf>
    <xf numFmtId="0" fontId="2" fillId="5" borderId="1" xfId="0" applyFont="1" applyFill="1" applyBorder="1" applyAlignment="1">
      <alignment horizontal="center" vertical="center" wrapText="1"/>
    </xf>
    <xf numFmtId="0" fontId="2" fillId="5" borderId="8" xfId="0" applyFont="1" applyFill="1" applyBorder="1" applyAlignment="1">
      <alignment horizontal="center" vertical="center" wrapText="1"/>
    </xf>
    <xf numFmtId="0" fontId="2" fillId="5" borderId="10" xfId="0" applyFont="1" applyFill="1" applyBorder="1" applyAlignment="1">
      <alignment horizontal="center" vertical="center" wrapText="1"/>
    </xf>
    <xf numFmtId="0" fontId="1" fillId="6" borderId="1" xfId="0" applyFont="1" applyFill="1" applyBorder="1" applyAlignment="1">
      <alignment horizontal="center"/>
    </xf>
    <xf numFmtId="0" fontId="9" fillId="21" borderId="1" xfId="0" applyFont="1" applyFill="1" applyBorder="1" applyAlignment="1" applyProtection="1">
      <alignment horizontal="left"/>
      <protection locked="0"/>
    </xf>
    <xf numFmtId="0" fontId="0" fillId="3" borderId="1" xfId="0" applyFill="1" applyBorder="1" applyAlignment="1">
      <alignment horizontal="center"/>
    </xf>
    <xf numFmtId="0" fontId="9" fillId="21" borderId="17" xfId="0" applyFont="1" applyFill="1" applyBorder="1" applyAlignment="1" applyProtection="1">
      <alignment horizontal="center"/>
      <protection locked="0"/>
    </xf>
    <xf numFmtId="0" fontId="9" fillId="21" borderId="18" xfId="0" applyFont="1" applyFill="1" applyBorder="1" applyAlignment="1" applyProtection="1">
      <alignment horizontal="center"/>
      <protection locked="0"/>
    </xf>
    <xf numFmtId="0" fontId="2" fillId="3" borderId="26" xfId="0" applyFont="1" applyFill="1" applyBorder="1" applyAlignment="1">
      <alignment horizontal="center"/>
    </xf>
    <xf numFmtId="0" fontId="2" fillId="3" borderId="5" xfId="0" applyFont="1" applyFill="1" applyBorder="1" applyAlignment="1">
      <alignment horizontal="center"/>
    </xf>
    <xf numFmtId="0" fontId="5" fillId="6" borderId="47" xfId="0" applyFont="1" applyFill="1" applyBorder="1" applyAlignment="1">
      <alignment horizontal="center" vertical="center"/>
    </xf>
    <xf numFmtId="0" fontId="5" fillId="6" borderId="35" xfId="0" applyFont="1" applyFill="1" applyBorder="1" applyAlignment="1">
      <alignment horizontal="center" vertical="center"/>
    </xf>
    <xf numFmtId="0" fontId="5" fillId="6" borderId="36" xfId="0" applyFont="1" applyFill="1" applyBorder="1" applyAlignment="1">
      <alignment horizontal="center" vertical="center"/>
    </xf>
    <xf numFmtId="0" fontId="5" fillId="6" borderId="21" xfId="0" applyFont="1" applyFill="1" applyBorder="1" applyAlignment="1">
      <alignment horizontal="center" vertical="center"/>
    </xf>
    <xf numFmtId="0" fontId="5" fillId="6" borderId="23" xfId="0" applyFont="1" applyFill="1" applyBorder="1" applyAlignment="1">
      <alignment horizontal="center" vertical="center"/>
    </xf>
    <xf numFmtId="0" fontId="5" fillId="6" borderId="22" xfId="0" applyFont="1" applyFill="1" applyBorder="1" applyAlignment="1">
      <alignment horizontal="center" vertical="center"/>
    </xf>
    <xf numFmtId="0" fontId="2" fillId="3" borderId="11" xfId="0" applyFont="1" applyFill="1" applyBorder="1" applyAlignment="1">
      <alignment horizontal="left"/>
    </xf>
    <xf numFmtId="0" fontId="2" fillId="3" borderId="7" xfId="0" applyFont="1" applyFill="1" applyBorder="1" applyAlignment="1">
      <alignment horizontal="left"/>
    </xf>
    <xf numFmtId="0" fontId="9" fillId="21" borderId="13" xfId="0" applyFont="1" applyFill="1" applyBorder="1" applyAlignment="1" applyProtection="1">
      <alignment horizontal="left"/>
      <protection locked="0"/>
    </xf>
    <xf numFmtId="0" fontId="5" fillId="6" borderId="7" xfId="0" applyFont="1" applyFill="1" applyBorder="1" applyAlignment="1">
      <alignment horizontal="center"/>
    </xf>
    <xf numFmtId="0" fontId="5" fillId="6" borderId="13" xfId="0" applyFont="1" applyFill="1" applyBorder="1" applyAlignment="1">
      <alignment horizontal="center"/>
    </xf>
    <xf numFmtId="0" fontId="5" fillId="6" borderId="11" xfId="0" applyFont="1" applyFill="1" applyBorder="1" applyAlignment="1">
      <alignment horizontal="center"/>
    </xf>
    <xf numFmtId="0" fontId="5" fillId="6" borderId="14" xfId="0" applyFont="1" applyFill="1" applyBorder="1" applyAlignment="1">
      <alignment horizontal="center"/>
    </xf>
    <xf numFmtId="0" fontId="0" fillId="3" borderId="46" xfId="0" applyFill="1" applyBorder="1" applyAlignment="1">
      <alignment horizontal="left"/>
    </xf>
    <xf numFmtId="0" fontId="0" fillId="3" borderId="6" xfId="0" applyFill="1" applyBorder="1" applyAlignment="1">
      <alignment horizontal="left"/>
    </xf>
    <xf numFmtId="0" fontId="0" fillId="3" borderId="9" xfId="0" applyFill="1" applyBorder="1" applyAlignment="1">
      <alignment horizontal="left"/>
    </xf>
    <xf numFmtId="0" fontId="0" fillId="3" borderId="1" xfId="0" applyFill="1" applyBorder="1" applyAlignment="1">
      <alignment horizontal="left"/>
    </xf>
    <xf numFmtId="0" fontId="0" fillId="3" borderId="26" xfId="0" applyFill="1" applyBorder="1" applyAlignment="1">
      <alignment horizontal="left"/>
    </xf>
    <xf numFmtId="0" fontId="0" fillId="3" borderId="3" xfId="0" applyFill="1" applyBorder="1" applyAlignment="1">
      <alignment horizontal="left"/>
    </xf>
    <xf numFmtId="0" fontId="5" fillId="6" borderId="34" xfId="0" applyFont="1" applyFill="1" applyBorder="1" applyAlignment="1">
      <alignment horizontal="center"/>
    </xf>
    <xf numFmtId="0" fontId="5" fillId="6" borderId="36" xfId="0" applyFont="1" applyFill="1" applyBorder="1" applyAlignment="1">
      <alignment horizontal="center"/>
    </xf>
    <xf numFmtId="0" fontId="5" fillId="4" borderId="11" xfId="0" applyFont="1" applyFill="1" applyBorder="1" applyAlignment="1">
      <alignment horizontal="left"/>
    </xf>
    <xf numFmtId="0" fontId="5" fillId="4" borderId="14" xfId="0" applyFont="1" applyFill="1" applyBorder="1" applyAlignment="1">
      <alignment horizontal="left"/>
    </xf>
    <xf numFmtId="0" fontId="2" fillId="3" borderId="9" xfId="0" applyFont="1" applyFill="1" applyBorder="1" applyAlignment="1">
      <alignment horizontal="center" vertical="center"/>
    </xf>
    <xf numFmtId="0" fontId="2" fillId="3" borderId="11" xfId="0" applyFont="1" applyFill="1" applyBorder="1" applyAlignment="1">
      <alignment horizontal="center" vertical="center"/>
    </xf>
    <xf numFmtId="0" fontId="6" fillId="2" borderId="32" xfId="0" applyFont="1" applyFill="1" applyBorder="1" applyAlignment="1">
      <alignment horizontal="center"/>
    </xf>
    <xf numFmtId="0" fontId="6" fillId="2" borderId="16" xfId="0" applyFont="1" applyFill="1" applyBorder="1" applyAlignment="1">
      <alignment horizontal="center"/>
    </xf>
    <xf numFmtId="0" fontId="6" fillId="2" borderId="41" xfId="0" applyFont="1" applyFill="1" applyBorder="1" applyAlignment="1">
      <alignment horizontal="center"/>
    </xf>
    <xf numFmtId="0" fontId="5" fillId="6" borderId="61" xfId="0" applyFont="1" applyFill="1" applyBorder="1" applyAlignment="1">
      <alignment horizontal="center"/>
    </xf>
    <xf numFmtId="0" fontId="5" fillId="6" borderId="62" xfId="0" applyFont="1" applyFill="1" applyBorder="1" applyAlignment="1">
      <alignment horizontal="center"/>
    </xf>
    <xf numFmtId="0" fontId="5" fillId="6" borderId="26" xfId="0" applyFont="1" applyFill="1" applyBorder="1" applyAlignment="1">
      <alignment horizontal="center" vertical="center"/>
    </xf>
    <xf numFmtId="0" fontId="5" fillId="6" borderId="42" xfId="0" applyFont="1" applyFill="1" applyBorder="1" applyAlignment="1">
      <alignment horizontal="center" vertical="center"/>
    </xf>
    <xf numFmtId="0" fontId="5" fillId="6" borderId="26" xfId="0" applyFont="1" applyFill="1" applyBorder="1" applyAlignment="1">
      <alignment horizontal="center"/>
    </xf>
    <xf numFmtId="0" fontId="5" fillId="6" borderId="42" xfId="0" applyFont="1" applyFill="1" applyBorder="1" applyAlignment="1">
      <alignment horizontal="center"/>
    </xf>
    <xf numFmtId="0" fontId="5" fillId="6" borderId="21" xfId="0" applyFont="1" applyFill="1" applyBorder="1" applyAlignment="1">
      <alignment horizontal="center" vertical="center" wrapText="1"/>
    </xf>
    <xf numFmtId="0" fontId="5" fillId="6" borderId="22" xfId="0" applyFont="1" applyFill="1" applyBorder="1" applyAlignment="1">
      <alignment horizontal="center" vertical="center" wrapText="1"/>
    </xf>
    <xf numFmtId="0" fontId="0" fillId="3" borderId="17" xfId="0" applyFill="1" applyBorder="1" applyAlignment="1">
      <alignment horizontal="left"/>
    </xf>
    <xf numFmtId="0" fontId="0" fillId="3" borderId="20" xfId="0" applyFill="1" applyBorder="1" applyAlignment="1">
      <alignment horizontal="left"/>
    </xf>
    <xf numFmtId="0" fontId="0" fillId="3" borderId="21" xfId="0" applyFill="1" applyBorder="1" applyAlignment="1">
      <alignment horizontal="center"/>
    </xf>
    <xf numFmtId="0" fontId="0" fillId="3" borderId="22" xfId="0" applyFill="1" applyBorder="1" applyAlignment="1">
      <alignment horizontal="center"/>
    </xf>
    <xf numFmtId="0" fontId="9" fillId="21" borderId="17" xfId="0" applyFont="1" applyFill="1" applyBorder="1" applyAlignment="1" applyProtection="1">
      <alignment horizontal="left"/>
      <protection locked="0"/>
    </xf>
    <xf numFmtId="0" fontId="9" fillId="21" borderId="20" xfId="0" applyFont="1" applyFill="1" applyBorder="1" applyAlignment="1" applyProtection="1">
      <alignment horizontal="left"/>
      <protection locked="0"/>
    </xf>
    <xf numFmtId="0" fontId="9" fillId="21" borderId="51" xfId="0" applyFont="1" applyFill="1" applyBorder="1" applyAlignment="1" applyProtection="1">
      <alignment horizontal="left"/>
      <protection locked="0"/>
    </xf>
    <xf numFmtId="0" fontId="9" fillId="21" borderId="52" xfId="0" applyFont="1" applyFill="1" applyBorder="1" applyAlignment="1" applyProtection="1">
      <alignment horizontal="left"/>
      <protection locked="0"/>
    </xf>
    <xf numFmtId="0" fontId="0" fillId="3" borderId="21" xfId="0" applyFill="1" applyBorder="1" applyAlignment="1">
      <alignment horizontal="center" vertical="center"/>
    </xf>
    <xf numFmtId="0" fontId="0" fillId="3" borderId="22" xfId="0" applyFill="1" applyBorder="1" applyAlignment="1">
      <alignment horizontal="center" vertical="center"/>
    </xf>
    <xf numFmtId="0" fontId="9" fillId="21" borderId="10" xfId="0" applyFont="1" applyFill="1" applyBorder="1" applyAlignment="1" applyProtection="1">
      <alignment horizontal="left"/>
      <protection locked="0"/>
    </xf>
    <xf numFmtId="0" fontId="0" fillId="3" borderId="23" xfId="0" applyFill="1" applyBorder="1" applyAlignment="1">
      <alignment horizontal="center" vertical="center"/>
    </xf>
    <xf numFmtId="0" fontId="9" fillId="21" borderId="18" xfId="0" applyFont="1" applyFill="1" applyBorder="1" applyAlignment="1" applyProtection="1">
      <alignment horizontal="left"/>
      <protection locked="0"/>
    </xf>
    <xf numFmtId="0" fontId="9" fillId="21" borderId="14" xfId="0" applyFont="1" applyFill="1" applyBorder="1" applyAlignment="1" applyProtection="1">
      <alignment horizontal="left"/>
      <protection locked="0"/>
    </xf>
    <xf numFmtId="0" fontId="9" fillId="21" borderId="12" xfId="0" applyFont="1" applyFill="1" applyBorder="1" applyAlignment="1" applyProtection="1">
      <alignment horizontal="left"/>
      <protection locked="0"/>
    </xf>
    <xf numFmtId="0" fontId="1" fillId="6" borderId="22" xfId="0" applyFont="1" applyFill="1" applyBorder="1" applyAlignment="1">
      <alignment horizontal="center"/>
    </xf>
    <xf numFmtId="0" fontId="7" fillId="2" borderId="21" xfId="0" applyFont="1" applyFill="1" applyBorder="1" applyAlignment="1">
      <alignment horizontal="center"/>
    </xf>
    <xf numFmtId="0" fontId="7" fillId="2" borderId="22" xfId="0" applyFont="1" applyFill="1" applyBorder="1" applyAlignment="1">
      <alignment horizontal="center"/>
    </xf>
    <xf numFmtId="0" fontId="7" fillId="2" borderId="23" xfId="0" applyFont="1" applyFill="1" applyBorder="1" applyAlignment="1">
      <alignment horizontal="center"/>
    </xf>
    <xf numFmtId="0" fontId="2" fillId="18" borderId="47" xfId="0" applyFont="1" applyFill="1" applyBorder="1" applyAlignment="1">
      <alignment horizontal="right"/>
    </xf>
    <xf numFmtId="0" fontId="2" fillId="18" borderId="53" xfId="0" applyFont="1" applyFill="1" applyBorder="1" applyAlignment="1">
      <alignment horizontal="right"/>
    </xf>
    <xf numFmtId="0" fontId="8" fillId="6" borderId="21" xfId="0" applyFont="1" applyFill="1" applyBorder="1" applyAlignment="1">
      <alignment horizontal="center"/>
    </xf>
    <xf numFmtId="0" fontId="8" fillId="6" borderId="22" xfId="0" applyFont="1" applyFill="1" applyBorder="1" applyAlignment="1">
      <alignment horizontal="center"/>
    </xf>
    <xf numFmtId="0" fontId="8" fillId="6" borderId="23" xfId="0" applyFont="1" applyFill="1" applyBorder="1" applyAlignment="1">
      <alignment horizontal="center"/>
    </xf>
    <xf numFmtId="0" fontId="2" fillId="3" borderId="52" xfId="0" applyFont="1" applyFill="1" applyBorder="1" applyAlignment="1">
      <alignment horizontal="left"/>
    </xf>
    <xf numFmtId="0" fontId="2" fillId="21" borderId="15" xfId="0" applyFont="1" applyFill="1" applyBorder="1" applyAlignment="1" applyProtection="1">
      <alignment horizontal="left" vertical="center"/>
      <protection locked="0"/>
    </xf>
    <xf numFmtId="0" fontId="2" fillId="21" borderId="16" xfId="0" applyFont="1" applyFill="1" applyBorder="1" applyAlignment="1" applyProtection="1">
      <alignment horizontal="left" vertical="center"/>
      <protection locked="0"/>
    </xf>
    <xf numFmtId="0" fontId="2" fillId="21" borderId="33" xfId="0" applyFont="1" applyFill="1" applyBorder="1" applyAlignment="1" applyProtection="1">
      <alignment horizontal="left" vertical="center"/>
      <protection locked="0"/>
    </xf>
    <xf numFmtId="0" fontId="4" fillId="0" borderId="0" xfId="0" applyFont="1" applyAlignment="1">
      <alignment horizontal="center" vertical="center"/>
    </xf>
    <xf numFmtId="0" fontId="2" fillId="0" borderId="63" xfId="0" applyFont="1" applyBorder="1" applyAlignment="1">
      <alignment horizontal="center" vertical="center"/>
    </xf>
    <xf numFmtId="0" fontId="0" fillId="0" borderId="58" xfId="0" applyBorder="1" applyAlignment="1">
      <alignment horizontal="center" vertical="center"/>
    </xf>
    <xf numFmtId="0" fontId="0" fillId="0" borderId="35" xfId="0" applyBorder="1" applyAlignment="1">
      <alignment horizontal="center" vertical="center"/>
    </xf>
    <xf numFmtId="0" fontId="2" fillId="3" borderId="19" xfId="0" applyFont="1" applyFill="1" applyBorder="1" applyAlignment="1">
      <alignment horizontal="center" vertical="center"/>
    </xf>
    <xf numFmtId="0" fontId="2" fillId="3" borderId="28" xfId="0" applyFont="1" applyFill="1" applyBorder="1" applyAlignment="1">
      <alignment horizontal="center" vertical="center"/>
    </xf>
    <xf numFmtId="0" fontId="2" fillId="3" borderId="32" xfId="0" applyFont="1" applyFill="1" applyBorder="1" applyAlignment="1">
      <alignment horizontal="center" vertical="center"/>
    </xf>
    <xf numFmtId="0" fontId="2" fillId="3" borderId="16" xfId="0" applyFont="1" applyFill="1" applyBorder="1" applyAlignment="1">
      <alignment horizontal="center" vertical="center"/>
    </xf>
    <xf numFmtId="0" fontId="2" fillId="3" borderId="33" xfId="0" applyFont="1" applyFill="1" applyBorder="1" applyAlignment="1">
      <alignment horizontal="center" vertical="center"/>
    </xf>
    <xf numFmtId="0" fontId="2" fillId="3" borderId="15" xfId="0" applyFont="1" applyFill="1" applyBorder="1" applyAlignment="1">
      <alignment horizontal="center" vertical="center"/>
    </xf>
    <xf numFmtId="0" fontId="2" fillId="3" borderId="40" xfId="0" applyFont="1" applyFill="1" applyBorder="1" applyAlignment="1">
      <alignment horizontal="center" vertical="center"/>
    </xf>
    <xf numFmtId="0" fontId="2" fillId="3" borderId="38" xfId="0" applyFont="1" applyFill="1" applyBorder="1" applyAlignment="1">
      <alignment horizontal="center" vertical="center"/>
    </xf>
    <xf numFmtId="0" fontId="2" fillId="3" borderId="14" xfId="0" applyFont="1" applyFill="1" applyBorder="1" applyAlignment="1">
      <alignment horizontal="center" vertical="center"/>
    </xf>
    <xf numFmtId="0" fontId="2" fillId="0" borderId="14" xfId="0" applyFont="1" applyBorder="1" applyAlignment="1" applyProtection="1">
      <alignment horizontal="left" vertical="center"/>
      <protection locked="0"/>
    </xf>
    <xf numFmtId="0" fontId="2" fillId="0" borderId="12" xfId="0" applyFont="1" applyBorder="1" applyAlignment="1" applyProtection="1">
      <alignment horizontal="left" vertical="center"/>
      <protection locked="0"/>
    </xf>
    <xf numFmtId="0" fontId="2" fillId="3" borderId="26" xfId="0" applyFont="1" applyFill="1" applyBorder="1" applyAlignment="1">
      <alignment horizontal="center" vertical="center"/>
    </xf>
    <xf numFmtId="0" fontId="2" fillId="3" borderId="5" xfId="0" applyFont="1" applyFill="1" applyBorder="1" applyAlignment="1">
      <alignment horizontal="center" vertical="center"/>
    </xf>
    <xf numFmtId="0" fontId="2" fillId="3" borderId="3" xfId="0" applyFont="1" applyFill="1" applyBorder="1" applyAlignment="1">
      <alignment horizontal="center" vertical="center"/>
    </xf>
    <xf numFmtId="0" fontId="2" fillId="3" borderId="9" xfId="0" applyFont="1" applyFill="1" applyBorder="1" applyAlignment="1">
      <alignment horizontal="left" vertical="center"/>
    </xf>
    <xf numFmtId="0" fontId="2" fillId="3" borderId="1" xfId="0" applyFont="1" applyFill="1" applyBorder="1" applyAlignment="1">
      <alignment horizontal="left" vertical="center"/>
    </xf>
    <xf numFmtId="0" fontId="2" fillId="3" borderId="3" xfId="0" applyFont="1" applyFill="1" applyBorder="1" applyAlignment="1">
      <alignment horizontal="left" vertical="center"/>
    </xf>
    <xf numFmtId="0" fontId="2" fillId="18" borderId="2" xfId="0" applyFont="1" applyFill="1" applyBorder="1" applyAlignment="1">
      <alignment horizontal="left" vertical="center"/>
    </xf>
    <xf numFmtId="0" fontId="2" fillId="18" borderId="5" xfId="0" applyFont="1" applyFill="1" applyBorder="1" applyAlignment="1">
      <alignment horizontal="left" vertical="center"/>
    </xf>
    <xf numFmtId="0" fontId="2" fillId="18" borderId="3" xfId="0" applyFont="1" applyFill="1" applyBorder="1" applyAlignment="1">
      <alignment horizontal="left" vertical="center"/>
    </xf>
    <xf numFmtId="0" fontId="2" fillId="18" borderId="15" xfId="0" applyFont="1" applyFill="1" applyBorder="1" applyAlignment="1">
      <alignment horizontal="left" vertical="center"/>
    </xf>
    <xf numFmtId="0" fontId="2" fillId="18" borderId="16" xfId="0" applyFont="1" applyFill="1" applyBorder="1" applyAlignment="1">
      <alignment horizontal="left" vertical="center"/>
    </xf>
    <xf numFmtId="0" fontId="2" fillId="18" borderId="33" xfId="0" applyFont="1" applyFill="1" applyBorder="1" applyAlignment="1">
      <alignment horizontal="left" vertical="center"/>
    </xf>
    <xf numFmtId="0" fontId="2" fillId="7" borderId="79" xfId="0" applyFont="1" applyFill="1" applyBorder="1" applyAlignment="1">
      <alignment horizontal="center"/>
    </xf>
    <xf numFmtId="0" fontId="2" fillId="7" borderId="80" xfId="0" applyFont="1" applyFill="1" applyBorder="1" applyAlignment="1">
      <alignment horizontal="center"/>
    </xf>
    <xf numFmtId="0" fontId="2" fillId="21" borderId="2" xfId="0" applyFont="1" applyFill="1" applyBorder="1" applyAlignment="1" applyProtection="1">
      <alignment horizontal="left" vertical="center"/>
      <protection locked="0"/>
    </xf>
    <xf numFmtId="0" fontId="2" fillId="21" borderId="5" xfId="0" applyFont="1" applyFill="1" applyBorder="1" applyAlignment="1" applyProtection="1">
      <alignment horizontal="left" vertical="center"/>
      <protection locked="0"/>
    </xf>
    <xf numFmtId="0" fontId="2" fillId="21" borderId="3" xfId="0" applyFont="1" applyFill="1" applyBorder="1" applyAlignment="1" applyProtection="1">
      <alignment horizontal="left" vertical="center"/>
      <protection locked="0"/>
    </xf>
    <xf numFmtId="0" fontId="2" fillId="3" borderId="30" xfId="0" applyFont="1" applyFill="1" applyBorder="1" applyAlignment="1">
      <alignment horizontal="center" vertical="center"/>
    </xf>
    <xf numFmtId="0" fontId="2" fillId="3" borderId="60" xfId="0" applyFont="1" applyFill="1" applyBorder="1" applyAlignment="1">
      <alignment horizontal="left" vertical="center"/>
    </xf>
    <xf numFmtId="0" fontId="2" fillId="3" borderId="52" xfId="0" applyFont="1" applyFill="1" applyBorder="1" applyAlignment="1">
      <alignment horizontal="left" vertical="center"/>
    </xf>
    <xf numFmtId="0" fontId="2" fillId="3" borderId="11" xfId="0" applyFont="1" applyFill="1" applyBorder="1" applyAlignment="1">
      <alignment horizontal="left" vertical="center"/>
    </xf>
    <xf numFmtId="0" fontId="2" fillId="3" borderId="14" xfId="0" applyFont="1" applyFill="1" applyBorder="1" applyAlignment="1">
      <alignment horizontal="left" vertical="center"/>
    </xf>
    <xf numFmtId="0" fontId="1" fillId="6" borderId="21" xfId="0" applyFont="1" applyFill="1" applyBorder="1" applyAlignment="1">
      <alignment horizontal="center" vertical="center"/>
    </xf>
    <xf numFmtId="0" fontId="1" fillId="6" borderId="22" xfId="0" applyFont="1" applyFill="1" applyBorder="1" applyAlignment="1">
      <alignment horizontal="center" vertical="center"/>
    </xf>
    <xf numFmtId="0" fontId="1" fillId="6" borderId="23" xfId="0" applyFont="1" applyFill="1" applyBorder="1" applyAlignment="1">
      <alignment horizontal="center" vertical="center"/>
    </xf>
    <xf numFmtId="0" fontId="2" fillId="18" borderId="14" xfId="0" applyFont="1" applyFill="1" applyBorder="1" applyAlignment="1">
      <alignment horizontal="center" vertical="center"/>
    </xf>
    <xf numFmtId="0" fontId="3" fillId="18" borderId="14" xfId="0" applyFont="1" applyFill="1" applyBorder="1" applyAlignment="1">
      <alignment horizontal="center" vertical="center"/>
    </xf>
    <xf numFmtId="0" fontId="5" fillId="18" borderId="12" xfId="0" applyFont="1" applyFill="1" applyBorder="1" applyAlignment="1">
      <alignment horizontal="center" vertical="center"/>
    </xf>
    <xf numFmtId="0" fontId="2" fillId="18" borderId="20" xfId="0" applyFont="1" applyFill="1" applyBorder="1" applyAlignment="1">
      <alignment horizontal="left" vertical="center"/>
    </xf>
    <xf numFmtId="0" fontId="2" fillId="18" borderId="52" xfId="0" applyFont="1" applyFill="1" applyBorder="1" applyAlignment="1">
      <alignment horizontal="left" vertical="center"/>
    </xf>
    <xf numFmtId="0" fontId="2" fillId="21" borderId="17" xfId="0" applyFont="1" applyFill="1" applyBorder="1" applyAlignment="1" applyProtection="1">
      <alignment horizontal="left" vertical="center"/>
      <protection locked="0"/>
    </xf>
    <xf numFmtId="0" fontId="2" fillId="21" borderId="20" xfId="0" applyFont="1" applyFill="1" applyBorder="1" applyAlignment="1" applyProtection="1">
      <alignment horizontal="left" vertical="center"/>
      <protection locked="0"/>
    </xf>
    <xf numFmtId="0" fontId="2" fillId="21" borderId="9" xfId="0" applyFont="1" applyFill="1" applyBorder="1" applyAlignment="1" applyProtection="1">
      <alignment horizontal="left" vertical="center"/>
      <protection locked="0"/>
    </xf>
    <xf numFmtId="0" fontId="2" fillId="21" borderId="1" xfId="0" applyFont="1" applyFill="1" applyBorder="1" applyAlignment="1" applyProtection="1">
      <alignment horizontal="left" vertical="center"/>
      <protection locked="0"/>
    </xf>
    <xf numFmtId="0" fontId="7" fillId="2" borderId="55" xfId="0" applyFont="1" applyFill="1" applyBorder="1" applyAlignment="1">
      <alignment horizontal="center" vertical="center"/>
    </xf>
    <xf numFmtId="0" fontId="7" fillId="2" borderId="0" xfId="0" applyFont="1" applyFill="1" applyAlignment="1">
      <alignment horizontal="center" vertical="center"/>
    </xf>
    <xf numFmtId="0" fontId="2" fillId="3" borderId="46" xfId="0" applyFont="1" applyFill="1" applyBorder="1" applyAlignment="1">
      <alignment horizontal="center" vertical="center"/>
    </xf>
    <xf numFmtId="0" fontId="2" fillId="3" borderId="6" xfId="0" applyFont="1" applyFill="1" applyBorder="1" applyAlignment="1">
      <alignment horizontal="center" vertical="center"/>
    </xf>
    <xf numFmtId="0" fontId="2" fillId="3" borderId="20" xfId="0" applyFont="1" applyFill="1" applyBorder="1" applyAlignment="1">
      <alignment horizontal="center" vertical="center"/>
    </xf>
    <xf numFmtId="0" fontId="2" fillId="3" borderId="1" xfId="0" applyFont="1" applyFill="1" applyBorder="1" applyAlignment="1">
      <alignment horizontal="center" vertical="center"/>
    </xf>
    <xf numFmtId="0" fontId="1" fillId="6" borderId="34" xfId="0" applyFont="1" applyFill="1" applyBorder="1" applyAlignment="1">
      <alignment horizontal="center" vertical="center"/>
    </xf>
    <xf numFmtId="0" fontId="1" fillId="6" borderId="35" xfId="0" applyFont="1" applyFill="1" applyBorder="1" applyAlignment="1">
      <alignment horizontal="center" vertical="center"/>
    </xf>
    <xf numFmtId="0" fontId="1" fillId="6" borderId="36" xfId="0" applyFont="1" applyFill="1" applyBorder="1" applyAlignment="1">
      <alignment horizontal="center" vertical="center"/>
    </xf>
    <xf numFmtId="0" fontId="2" fillId="3" borderId="17" xfId="0" applyFont="1" applyFill="1" applyBorder="1" applyAlignment="1">
      <alignment horizontal="center" vertical="center"/>
    </xf>
    <xf numFmtId="0" fontId="2" fillId="7" borderId="55" xfId="0" applyFont="1" applyFill="1" applyBorder="1" applyAlignment="1">
      <alignment horizontal="center" vertical="center" wrapText="1"/>
    </xf>
    <xf numFmtId="0" fontId="2" fillId="7" borderId="0" xfId="0" applyFont="1" applyFill="1" applyAlignment="1">
      <alignment horizontal="center" vertical="center" wrapText="1"/>
    </xf>
    <xf numFmtId="0" fontId="2" fillId="7" borderId="66" xfId="0" applyFont="1" applyFill="1" applyBorder="1" applyAlignment="1">
      <alignment horizontal="center" vertical="center" wrapText="1"/>
    </xf>
    <xf numFmtId="0" fontId="2" fillId="7" borderId="45" xfId="0" applyFont="1" applyFill="1" applyBorder="1" applyAlignment="1">
      <alignment horizontal="center" vertical="center" wrapText="1"/>
    </xf>
    <xf numFmtId="0" fontId="2" fillId="7" borderId="29" xfId="0" applyFont="1" applyFill="1" applyBorder="1" applyAlignment="1">
      <alignment horizontal="center" vertical="center" wrapText="1"/>
    </xf>
    <xf numFmtId="0" fontId="2" fillId="7" borderId="28" xfId="0" applyFont="1" applyFill="1" applyBorder="1" applyAlignment="1">
      <alignment horizontal="center" vertical="center" wrapText="1"/>
    </xf>
    <xf numFmtId="0" fontId="2" fillId="7" borderId="20" xfId="0" applyFont="1" applyFill="1" applyBorder="1" applyAlignment="1">
      <alignment horizontal="center" vertical="center" wrapText="1"/>
    </xf>
    <xf numFmtId="0" fontId="2" fillId="7" borderId="20" xfId="0" applyFont="1" applyFill="1" applyBorder="1" applyAlignment="1">
      <alignment horizontal="center" vertical="center"/>
    </xf>
    <xf numFmtId="0" fontId="2" fillId="7" borderId="1" xfId="0" applyFont="1" applyFill="1" applyBorder="1" applyAlignment="1">
      <alignment horizontal="center" vertical="center"/>
    </xf>
    <xf numFmtId="0" fontId="2" fillId="7" borderId="18" xfId="0" applyFont="1" applyFill="1" applyBorder="1" applyAlignment="1">
      <alignment horizontal="center" vertical="center" wrapText="1"/>
    </xf>
    <xf numFmtId="0" fontId="2" fillId="7" borderId="1" xfId="0" applyFont="1" applyFill="1" applyBorder="1" applyAlignment="1">
      <alignment horizontal="center" vertical="center" wrapText="1"/>
    </xf>
    <xf numFmtId="0" fontId="2" fillId="7" borderId="10" xfId="0" applyFont="1" applyFill="1" applyBorder="1" applyAlignment="1">
      <alignment horizontal="center" vertical="center" wrapText="1"/>
    </xf>
    <xf numFmtId="0" fontId="2" fillId="18" borderId="1" xfId="0" applyFont="1" applyFill="1" applyBorder="1" applyAlignment="1">
      <alignment horizontal="center" vertical="center"/>
    </xf>
    <xf numFmtId="0" fontId="2" fillId="18" borderId="10" xfId="0" applyFont="1" applyFill="1" applyBorder="1" applyAlignment="1">
      <alignment horizontal="center" vertical="center"/>
    </xf>
    <xf numFmtId="0" fontId="3" fillId="18" borderId="1" xfId="0" applyFont="1" applyFill="1" applyBorder="1" applyAlignment="1">
      <alignment horizontal="center" vertical="center"/>
    </xf>
    <xf numFmtId="0" fontId="5" fillId="18" borderId="10" xfId="0" applyFont="1" applyFill="1" applyBorder="1" applyAlignment="1">
      <alignment horizontal="center" vertical="center"/>
    </xf>
    <xf numFmtId="0" fontId="0" fillId="0" borderId="55" xfId="0" applyBorder="1" applyAlignment="1" applyProtection="1">
      <alignment horizontal="center" vertical="center"/>
      <protection locked="0"/>
    </xf>
    <xf numFmtId="0" fontId="0" fillId="0" borderId="66" xfId="0" applyBorder="1" applyAlignment="1" applyProtection="1">
      <alignment horizontal="center" vertical="center"/>
      <protection locked="0"/>
    </xf>
    <xf numFmtId="0" fontId="0" fillId="0" borderId="61" xfId="0" applyBorder="1" applyAlignment="1">
      <alignment horizontal="center" vertical="center"/>
    </xf>
    <xf numFmtId="0" fontId="0" fillId="0" borderId="27" xfId="0" applyBorder="1" applyAlignment="1">
      <alignment horizontal="center" vertical="center"/>
    </xf>
    <xf numFmtId="0" fontId="2" fillId="18" borderId="0" xfId="0" applyFont="1" applyFill="1" applyAlignment="1">
      <alignment horizontal="left" vertical="center"/>
    </xf>
    <xf numFmtId="0" fontId="2" fillId="18" borderId="58" xfId="0" applyFont="1" applyFill="1" applyBorder="1" applyAlignment="1">
      <alignment horizontal="left" vertical="center"/>
    </xf>
    <xf numFmtId="0" fontId="2" fillId="18" borderId="59" xfId="0" applyFont="1" applyFill="1" applyBorder="1" applyAlignment="1">
      <alignment horizontal="left" vertical="center"/>
    </xf>
    <xf numFmtId="0" fontId="3" fillId="7" borderId="7" xfId="0" applyFont="1" applyFill="1" applyBorder="1" applyAlignment="1">
      <alignment horizontal="center" vertical="center"/>
    </xf>
    <xf numFmtId="0" fontId="3" fillId="7" borderId="13" xfId="0" applyFont="1" applyFill="1" applyBorder="1" applyAlignment="1">
      <alignment horizontal="center" vertical="center"/>
    </xf>
    <xf numFmtId="0" fontId="3" fillId="7" borderId="8" xfId="0" applyFont="1" applyFill="1" applyBorder="1" applyAlignment="1">
      <alignment horizontal="center" vertical="center"/>
    </xf>
    <xf numFmtId="0" fontId="3" fillId="7" borderId="38" xfId="0" applyFont="1" applyFill="1" applyBorder="1" applyAlignment="1">
      <alignment horizontal="center" vertical="center"/>
    </xf>
    <xf numFmtId="0" fontId="2" fillId="18" borderId="55" xfId="0" applyFont="1" applyFill="1" applyBorder="1" applyAlignment="1">
      <alignment horizontal="right" vertical="center"/>
    </xf>
    <xf numFmtId="0" fontId="2" fillId="18" borderId="0" xfId="0" applyFont="1" applyFill="1" applyAlignment="1">
      <alignment horizontal="right" vertical="center"/>
    </xf>
    <xf numFmtId="0" fontId="2" fillId="3" borderId="20" xfId="0" applyFont="1" applyFill="1" applyBorder="1" applyAlignment="1">
      <alignment horizontal="left" vertical="center"/>
    </xf>
    <xf numFmtId="0" fontId="0" fillId="0" borderId="57" xfId="0" applyBorder="1" applyAlignment="1" applyProtection="1">
      <alignment horizontal="center" vertical="center"/>
      <protection locked="0"/>
    </xf>
    <xf numFmtId="0" fontId="0" fillId="0" borderId="60" xfId="0" applyBorder="1" applyAlignment="1" applyProtection="1">
      <alignment horizontal="center" vertical="center"/>
      <protection locked="0"/>
    </xf>
    <xf numFmtId="0" fontId="2" fillId="0" borderId="2" xfId="0" applyFont="1" applyBorder="1" applyAlignment="1" applyProtection="1">
      <alignment horizontal="left" vertical="center"/>
      <protection locked="0"/>
    </xf>
    <xf numFmtId="0" fontId="2" fillId="0" borderId="5" xfId="0" applyFont="1" applyBorder="1" applyAlignment="1" applyProtection="1">
      <alignment horizontal="left" vertical="center"/>
      <protection locked="0"/>
    </xf>
    <xf numFmtId="0" fontId="2" fillId="0" borderId="42" xfId="0" applyFont="1" applyBorder="1" applyAlignment="1" applyProtection="1">
      <alignment horizontal="left" vertical="center"/>
      <protection locked="0"/>
    </xf>
    <xf numFmtId="0" fontId="2" fillId="0" borderId="22"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3" borderId="13" xfId="0" applyFont="1" applyFill="1" applyBorder="1" applyAlignment="1">
      <alignment horizontal="left" vertical="center"/>
    </xf>
    <xf numFmtId="0" fontId="2" fillId="0" borderId="8" xfId="0" applyFont="1" applyBorder="1" applyAlignment="1" applyProtection="1">
      <alignment horizontal="left" vertical="center"/>
      <protection locked="0"/>
    </xf>
    <xf numFmtId="0" fontId="2" fillId="21" borderId="11" xfId="0" applyFont="1" applyFill="1" applyBorder="1" applyAlignment="1" applyProtection="1">
      <alignment horizontal="left" vertical="center"/>
      <protection locked="0"/>
    </xf>
    <xf numFmtId="0" fontId="2" fillId="21" borderId="14" xfId="0" applyFont="1" applyFill="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0" borderId="38" xfId="0" applyFont="1" applyBorder="1" applyAlignment="1" applyProtection="1">
      <alignment horizontal="left" vertical="center"/>
      <protection locked="0"/>
    </xf>
    <xf numFmtId="0" fontId="2" fillId="3" borderId="34" xfId="0" applyFont="1" applyFill="1" applyBorder="1" applyAlignment="1">
      <alignment horizontal="center" vertical="center"/>
    </xf>
    <xf numFmtId="0" fontId="2" fillId="3" borderId="53" xfId="0" applyFont="1" applyFill="1" applyBorder="1" applyAlignment="1">
      <alignment horizontal="center" vertical="center"/>
    </xf>
    <xf numFmtId="0" fontId="2" fillId="18" borderId="40" xfId="0" applyFont="1" applyFill="1" applyBorder="1" applyAlignment="1">
      <alignment horizontal="left" vertical="center"/>
    </xf>
    <xf numFmtId="0" fontId="2" fillId="18" borderId="31" xfId="0" applyFont="1" applyFill="1" applyBorder="1" applyAlignment="1">
      <alignment horizontal="left" vertical="center"/>
    </xf>
    <xf numFmtId="0" fontId="2" fillId="18" borderId="38" xfId="0" applyFont="1" applyFill="1" applyBorder="1" applyAlignment="1">
      <alignment horizontal="left" vertical="center"/>
    </xf>
    <xf numFmtId="0" fontId="2" fillId="3" borderId="2" xfId="0" applyFont="1" applyFill="1" applyBorder="1" applyAlignment="1">
      <alignment horizontal="center" vertical="center"/>
    </xf>
    <xf numFmtId="0" fontId="2" fillId="3" borderId="31" xfId="0" applyFont="1" applyFill="1" applyBorder="1" applyAlignment="1">
      <alignment horizontal="center" vertical="center"/>
    </xf>
    <xf numFmtId="0" fontId="2" fillId="21" borderId="31" xfId="0" applyFont="1" applyFill="1" applyBorder="1" applyAlignment="1" applyProtection="1">
      <alignment horizontal="left" vertical="center"/>
      <protection locked="0"/>
    </xf>
    <xf numFmtId="0" fontId="2" fillId="0" borderId="15"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0" borderId="41" xfId="0" applyFont="1" applyBorder="1" applyAlignment="1" applyProtection="1">
      <alignment horizontal="left" vertical="center"/>
      <protection locked="0"/>
    </xf>
    <xf numFmtId="0" fontId="2" fillId="3" borderId="22" xfId="0" applyFont="1" applyFill="1" applyBorder="1" applyAlignment="1">
      <alignment horizontal="left" vertical="center"/>
    </xf>
    <xf numFmtId="0" fontId="2" fillId="21" borderId="31" xfId="0" quotePrefix="1" applyFont="1" applyFill="1" applyBorder="1" applyAlignment="1" applyProtection="1">
      <alignment horizontal="left" vertical="center"/>
      <protection locked="0"/>
    </xf>
    <xf numFmtId="0" fontId="3" fillId="7" borderId="79" xfId="0" applyFont="1" applyFill="1" applyBorder="1" applyAlignment="1">
      <alignment horizontal="center" vertical="center"/>
    </xf>
    <xf numFmtId="0" fontId="3" fillId="7" borderId="80" xfId="0" applyFont="1" applyFill="1" applyBorder="1" applyAlignment="1">
      <alignment horizontal="center" vertical="center"/>
    </xf>
    <xf numFmtId="0" fontId="2" fillId="3" borderId="7" xfId="0" applyFont="1" applyFill="1" applyBorder="1" applyAlignment="1">
      <alignment horizontal="center" vertical="center"/>
    </xf>
    <xf numFmtId="0" fontId="2" fillId="3" borderId="13" xfId="0" applyFont="1" applyFill="1" applyBorder="1" applyAlignment="1">
      <alignment horizontal="center" vertical="center"/>
    </xf>
    <xf numFmtId="0" fontId="2" fillId="0" borderId="40" xfId="0" applyFont="1" applyBorder="1" applyAlignment="1" applyProtection="1">
      <alignment horizontal="right" vertical="center"/>
      <protection locked="0"/>
    </xf>
    <xf numFmtId="0" fontId="2" fillId="0" borderId="31" xfId="0" applyFont="1" applyBorder="1" applyAlignment="1" applyProtection="1">
      <alignment horizontal="right" vertical="center"/>
      <protection locked="0"/>
    </xf>
    <xf numFmtId="0" fontId="2" fillId="21" borderId="29" xfId="0" quotePrefix="1" applyFont="1" applyFill="1" applyBorder="1" applyAlignment="1" applyProtection="1">
      <alignment horizontal="left" vertical="center"/>
      <protection locked="0"/>
    </xf>
    <xf numFmtId="0" fontId="2" fillId="21" borderId="28" xfId="0" applyFont="1" applyFill="1" applyBorder="1" applyAlignment="1" applyProtection="1">
      <alignment horizontal="left" vertical="center"/>
      <protection locked="0"/>
    </xf>
    <xf numFmtId="0" fontId="2" fillId="0" borderId="4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3" fillId="7" borderId="24" xfId="0" applyFont="1" applyFill="1" applyBorder="1" applyAlignment="1">
      <alignment horizontal="center" vertical="center"/>
    </xf>
    <xf numFmtId="0" fontId="3" fillId="7" borderId="49" xfId="0" applyFont="1" applyFill="1" applyBorder="1" applyAlignment="1">
      <alignment horizontal="center" vertical="center"/>
    </xf>
    <xf numFmtId="0" fontId="3" fillId="0" borderId="40" xfId="0" applyFont="1" applyBorder="1" applyAlignment="1" applyProtection="1">
      <alignment horizontal="left" vertical="center"/>
      <protection locked="0"/>
    </xf>
    <xf numFmtId="0" fontId="3" fillId="0" borderId="31" xfId="0" applyFont="1" applyBorder="1" applyAlignment="1" applyProtection="1">
      <alignment horizontal="left" vertical="center"/>
      <protection locked="0"/>
    </xf>
    <xf numFmtId="0" fontId="3" fillId="0" borderId="38" xfId="0" applyFont="1" applyBorder="1" applyAlignment="1" applyProtection="1">
      <alignment horizontal="left" vertical="center"/>
      <protection locked="0"/>
    </xf>
    <xf numFmtId="0" fontId="3" fillId="0" borderId="19" xfId="0" applyFont="1" applyBorder="1" applyAlignment="1" applyProtection="1">
      <alignment horizontal="left" vertical="center"/>
      <protection locked="0"/>
    </xf>
    <xf numFmtId="0" fontId="3" fillId="0" borderId="29" xfId="0" applyFont="1" applyBorder="1" applyAlignment="1" applyProtection="1">
      <alignment horizontal="left" vertical="center"/>
      <protection locked="0"/>
    </xf>
    <xf numFmtId="0" fontId="3" fillId="0" borderId="28" xfId="0" applyFont="1" applyBorder="1" applyAlignment="1" applyProtection="1">
      <alignment horizontal="left" vertical="center"/>
      <protection locked="0"/>
    </xf>
    <xf numFmtId="0" fontId="2" fillId="0" borderId="1" xfId="0" applyFont="1" applyBorder="1" applyAlignment="1" applyProtection="1">
      <alignment horizontal="left" vertical="center"/>
      <protection locked="0"/>
    </xf>
    <xf numFmtId="0" fontId="2" fillId="0" borderId="10" xfId="0" applyFont="1" applyBorder="1" applyAlignment="1" applyProtection="1">
      <alignment horizontal="left" vertical="center"/>
      <protection locked="0"/>
    </xf>
    <xf numFmtId="0" fontId="1" fillId="6" borderId="37" xfId="0" applyFont="1" applyFill="1" applyBorder="1" applyAlignment="1">
      <alignment horizontal="center" vertical="center"/>
    </xf>
    <xf numFmtId="0" fontId="1" fillId="6" borderId="24" xfId="0" applyFont="1" applyFill="1" applyBorder="1" applyAlignment="1">
      <alignment horizontal="center" vertical="center"/>
    </xf>
    <xf numFmtId="0" fontId="1" fillId="6" borderId="39" xfId="0" applyFont="1" applyFill="1" applyBorder="1" applyAlignment="1">
      <alignment horizontal="center" vertical="center"/>
    </xf>
    <xf numFmtId="0" fontId="2" fillId="0" borderId="29" xfId="0" applyFont="1" applyBorder="1" applyAlignment="1" applyProtection="1">
      <alignment horizontal="right" vertical="center"/>
      <protection locked="0"/>
    </xf>
    <xf numFmtId="0" fontId="2" fillId="21" borderId="29" xfId="0" applyFont="1" applyFill="1" applyBorder="1" applyAlignment="1" applyProtection="1">
      <alignment horizontal="left" vertical="center"/>
      <protection locked="0"/>
    </xf>
    <xf numFmtId="0" fontId="2" fillId="21" borderId="38" xfId="0" applyFont="1" applyFill="1" applyBorder="1" applyAlignment="1" applyProtection="1">
      <alignment horizontal="left" vertical="center"/>
      <protection locked="0"/>
    </xf>
    <xf numFmtId="0" fontId="0" fillId="0" borderId="9" xfId="0" applyBorder="1" applyAlignment="1" applyProtection="1">
      <alignment horizontal="left"/>
      <protection locked="0"/>
    </xf>
    <xf numFmtId="0" fontId="0" fillId="0" borderId="1" xfId="0" applyBorder="1" applyAlignment="1" applyProtection="1">
      <alignment horizontal="left"/>
      <protection locked="0"/>
    </xf>
    <xf numFmtId="0" fontId="21" fillId="6" borderId="21" xfId="0" applyFont="1" applyFill="1" applyBorder="1" applyAlignment="1">
      <alignment horizontal="center"/>
    </xf>
    <xf numFmtId="0" fontId="21" fillId="6" borderId="22" xfId="0" applyFont="1" applyFill="1" applyBorder="1" applyAlignment="1">
      <alignment horizontal="center"/>
    </xf>
    <xf numFmtId="0" fontId="21" fillId="6" borderId="23" xfId="0" applyFont="1" applyFill="1" applyBorder="1" applyAlignment="1">
      <alignment horizontal="center"/>
    </xf>
    <xf numFmtId="0" fontId="20" fillId="7" borderId="9" xfId="0" applyFont="1" applyFill="1" applyBorder="1" applyAlignment="1">
      <alignment horizontal="left"/>
    </xf>
    <xf numFmtId="0" fontId="20" fillId="7" borderId="1" xfId="0" applyFont="1" applyFill="1" applyBorder="1" applyAlignment="1">
      <alignment horizontal="left"/>
    </xf>
    <xf numFmtId="0" fontId="0" fillId="0" borderId="54" xfId="0" applyBorder="1" applyAlignment="1">
      <alignment horizontal="left" vertical="center" wrapText="1"/>
    </xf>
    <xf numFmtId="0" fontId="0" fillId="0" borderId="49" xfId="0" applyBorder="1" applyAlignment="1">
      <alignment horizontal="left" vertical="center" wrapText="1"/>
    </xf>
    <xf numFmtId="0" fontId="0" fillId="0" borderId="50" xfId="0" applyBorder="1" applyAlignment="1">
      <alignment horizontal="left" vertical="center" wrapText="1"/>
    </xf>
    <xf numFmtId="0" fontId="0" fillId="0" borderId="55" xfId="0" applyBorder="1" applyAlignment="1">
      <alignment horizontal="left" vertical="center" wrapText="1"/>
    </xf>
    <xf numFmtId="0" fontId="0" fillId="0" borderId="0" xfId="0" applyAlignment="1">
      <alignment horizontal="left" vertical="center" wrapText="1"/>
    </xf>
    <xf numFmtId="0" fontId="0" fillId="0" borderId="56" xfId="0" applyBorder="1" applyAlignment="1">
      <alignment horizontal="left" vertical="center" wrapText="1"/>
    </xf>
    <xf numFmtId="0" fontId="0" fillId="0" borderId="57" xfId="0" applyBorder="1" applyAlignment="1">
      <alignment horizontal="left" vertical="center" wrapText="1"/>
    </xf>
    <xf numFmtId="0" fontId="0" fillId="0" borderId="58" xfId="0" applyBorder="1" applyAlignment="1">
      <alignment horizontal="left" vertical="center" wrapText="1"/>
    </xf>
    <xf numFmtId="0" fontId="0" fillId="0" borderId="59" xfId="0" applyBorder="1" applyAlignment="1">
      <alignment horizontal="left" vertical="center" wrapText="1"/>
    </xf>
    <xf numFmtId="0" fontId="0" fillId="0" borderId="11" xfId="0" applyBorder="1" applyAlignment="1" applyProtection="1">
      <alignment horizontal="left"/>
      <protection locked="0"/>
    </xf>
    <xf numFmtId="0" fontId="0" fillId="0" borderId="14" xfId="0" applyBorder="1" applyAlignment="1" applyProtection="1">
      <alignment horizontal="left"/>
      <protection locked="0"/>
    </xf>
    <xf numFmtId="0" fontId="10" fillId="6" borderId="21" xfId="0" applyFont="1" applyFill="1" applyBorder="1" applyAlignment="1">
      <alignment horizontal="center"/>
    </xf>
    <xf numFmtId="0" fontId="10" fillId="6" borderId="22" xfId="0" applyFont="1" applyFill="1" applyBorder="1" applyAlignment="1">
      <alignment horizontal="center"/>
    </xf>
    <xf numFmtId="0" fontId="10" fillId="6" borderId="23" xfId="0" applyFont="1" applyFill="1" applyBorder="1" applyAlignment="1">
      <alignment horizontal="center"/>
    </xf>
    <xf numFmtId="0" fontId="13" fillId="3" borderId="17" xfId="10" applyFont="1" applyFill="1" applyBorder="1" applyAlignment="1">
      <alignment horizontal="center" vertical="center"/>
    </xf>
    <xf numFmtId="0" fontId="13" fillId="3" borderId="20" xfId="10" applyFont="1" applyFill="1" applyBorder="1" applyAlignment="1">
      <alignment horizontal="center" vertical="center"/>
    </xf>
    <xf numFmtId="0" fontId="0" fillId="3" borderId="38" xfId="0" applyFill="1" applyBorder="1" applyAlignment="1">
      <alignment horizontal="center"/>
    </xf>
    <xf numFmtId="0" fontId="0" fillId="3" borderId="8" xfId="0" applyFill="1" applyBorder="1" applyAlignment="1">
      <alignment horizontal="center"/>
    </xf>
    <xf numFmtId="0" fontId="20" fillId="7" borderId="11" xfId="0" applyFont="1" applyFill="1" applyBorder="1" applyAlignment="1">
      <alignment horizontal="left"/>
    </xf>
    <xf numFmtId="0" fontId="20" fillId="7" borderId="14" xfId="0" applyFont="1" applyFill="1" applyBorder="1" applyAlignment="1">
      <alignment horizontal="left"/>
    </xf>
    <xf numFmtId="0" fontId="20" fillId="7" borderId="26" xfId="0" applyFont="1" applyFill="1" applyBorder="1" applyAlignment="1">
      <alignment horizontal="left"/>
    </xf>
    <xf numFmtId="0" fontId="20" fillId="7" borderId="5" xfId="0" applyFont="1" applyFill="1" applyBorder="1" applyAlignment="1">
      <alignment horizontal="left"/>
    </xf>
    <xf numFmtId="0" fontId="20" fillId="7" borderId="3" xfId="0" applyFont="1" applyFill="1" applyBorder="1" applyAlignment="1">
      <alignment horizontal="left"/>
    </xf>
    <xf numFmtId="0" fontId="23" fillId="3" borderId="17" xfId="10" applyFont="1" applyFill="1" applyBorder="1" applyAlignment="1">
      <alignment horizontal="center" vertical="center"/>
    </xf>
    <xf numFmtId="0" fontId="23" fillId="3" borderId="20" xfId="10" applyFont="1" applyFill="1" applyBorder="1" applyAlignment="1">
      <alignment horizontal="center" vertical="center"/>
    </xf>
    <xf numFmtId="0" fontId="20" fillId="7" borderId="12" xfId="0" applyFont="1" applyFill="1" applyBorder="1" applyAlignment="1">
      <alignment horizontal="left"/>
    </xf>
    <xf numFmtId="0" fontId="22" fillId="6" borderId="66" xfId="0" applyFont="1" applyFill="1" applyBorder="1" applyAlignment="1">
      <alignment horizontal="center"/>
    </xf>
    <xf numFmtId="0" fontId="22" fillId="6" borderId="74" xfId="0" applyFont="1" applyFill="1" applyBorder="1" applyAlignment="1">
      <alignment horizontal="center"/>
    </xf>
    <xf numFmtId="0" fontId="24" fillId="6" borderId="34" xfId="0" applyFont="1" applyFill="1" applyBorder="1" applyAlignment="1">
      <alignment horizontal="center"/>
    </xf>
    <xf numFmtId="0" fontId="24" fillId="6" borderId="35" xfId="0" applyFont="1" applyFill="1" applyBorder="1" applyAlignment="1">
      <alignment horizontal="center"/>
    </xf>
    <xf numFmtId="0" fontId="24" fillId="6" borderId="36" xfId="0" applyFont="1" applyFill="1" applyBorder="1" applyAlignment="1">
      <alignment horizontal="center"/>
    </xf>
    <xf numFmtId="0" fontId="0" fillId="3" borderId="21" xfId="0" applyFill="1" applyBorder="1" applyAlignment="1">
      <alignment horizontal="right"/>
    </xf>
    <xf numFmtId="0" fontId="0" fillId="3" borderId="22" xfId="0" applyFill="1" applyBorder="1" applyAlignment="1">
      <alignment horizontal="right"/>
    </xf>
    <xf numFmtId="0" fontId="0" fillId="18" borderId="61" xfId="0" applyFill="1" applyBorder="1" applyAlignment="1">
      <alignment horizontal="left" vertical="center" wrapText="1"/>
    </xf>
    <xf numFmtId="0" fontId="0" fillId="18" borderId="73" xfId="0" applyFill="1" applyBorder="1" applyAlignment="1">
      <alignment horizontal="left" vertical="center" wrapText="1"/>
    </xf>
    <xf numFmtId="0" fontId="0" fillId="18" borderId="62" xfId="0" applyFill="1" applyBorder="1" applyAlignment="1">
      <alignment horizontal="left" vertical="center" wrapText="1"/>
    </xf>
    <xf numFmtId="0" fontId="1" fillId="6" borderId="60" xfId="0" applyFont="1" applyFill="1" applyBorder="1" applyAlignment="1">
      <alignment horizontal="center"/>
    </xf>
    <xf numFmtId="0" fontId="1" fillId="6" borderId="48" xfId="0" applyFont="1" applyFill="1" applyBorder="1" applyAlignment="1">
      <alignment horizontal="center"/>
    </xf>
    <xf numFmtId="0" fontId="0" fillId="0" borderId="33" xfId="0" applyBorder="1" applyAlignment="1" applyProtection="1">
      <alignment horizontal="left"/>
      <protection locked="0"/>
    </xf>
    <xf numFmtId="0" fontId="0" fillId="0" borderId="12" xfId="0" applyBorder="1" applyAlignment="1" applyProtection="1">
      <alignment horizontal="left"/>
      <protection locked="0"/>
    </xf>
    <xf numFmtId="0" fontId="10" fillId="6" borderId="35" xfId="0" applyFont="1" applyFill="1" applyBorder="1" applyAlignment="1">
      <alignment horizontal="center"/>
    </xf>
    <xf numFmtId="0" fontId="10" fillId="6" borderId="36" xfId="0" applyFont="1" applyFill="1" applyBorder="1" applyAlignment="1">
      <alignment horizontal="center"/>
    </xf>
    <xf numFmtId="0" fontId="10" fillId="6" borderId="49" xfId="0" applyFont="1" applyFill="1" applyBorder="1" applyAlignment="1">
      <alignment horizontal="center"/>
    </xf>
    <xf numFmtId="0" fontId="10" fillId="6" borderId="50" xfId="0" applyFont="1" applyFill="1" applyBorder="1" applyAlignment="1">
      <alignment horizontal="center"/>
    </xf>
    <xf numFmtId="0" fontId="0" fillId="0" borderId="47" xfId="0" applyBorder="1" applyAlignment="1" applyProtection="1">
      <alignment horizontal="left"/>
      <protection locked="0"/>
    </xf>
    <xf numFmtId="0" fontId="0" fillId="0" borderId="35" xfId="0" applyBorder="1" applyAlignment="1" applyProtection="1">
      <alignment horizontal="left"/>
      <protection locked="0"/>
    </xf>
    <xf numFmtId="0" fontId="0" fillId="0" borderId="36" xfId="0" applyBorder="1" applyAlignment="1" applyProtection="1">
      <alignment horizontal="left"/>
      <protection locked="0"/>
    </xf>
    <xf numFmtId="0" fontId="13" fillId="3" borderId="22" xfId="0" applyFont="1" applyFill="1" applyBorder="1" applyAlignment="1">
      <alignment horizontal="center"/>
    </xf>
    <xf numFmtId="0" fontId="13" fillId="0" borderId="47" xfId="0" applyFont="1" applyBorder="1" applyAlignment="1" applyProtection="1">
      <alignment horizontal="left"/>
      <protection locked="0"/>
    </xf>
    <xf numFmtId="0" fontId="13" fillId="0" borderId="35" xfId="0" applyFont="1" applyBorder="1" applyAlignment="1" applyProtection="1">
      <alignment horizontal="left"/>
      <protection locked="0"/>
    </xf>
    <xf numFmtId="0" fontId="13" fillId="0" borderId="53" xfId="0" applyFont="1" applyBorder="1" applyAlignment="1" applyProtection="1">
      <alignment horizontal="left"/>
      <protection locked="0"/>
    </xf>
    <xf numFmtId="0" fontId="13" fillId="3" borderId="21" xfId="0" applyFont="1" applyFill="1" applyBorder="1" applyAlignment="1">
      <alignment horizontal="center"/>
    </xf>
    <xf numFmtId="0" fontId="0" fillId="3" borderId="34" xfId="0" applyFill="1" applyBorder="1" applyAlignment="1">
      <alignment horizontal="center"/>
    </xf>
    <xf numFmtId="0" fontId="0" fillId="3" borderId="35" xfId="0" applyFill="1" applyBorder="1" applyAlignment="1">
      <alignment horizontal="center"/>
    </xf>
    <xf numFmtId="0" fontId="0" fillId="3" borderId="57" xfId="0" applyFill="1" applyBorder="1" applyAlignment="1">
      <alignment horizontal="center"/>
    </xf>
    <xf numFmtId="0" fontId="0" fillId="3" borderId="58" xfId="0" applyFill="1" applyBorder="1" applyAlignment="1">
      <alignment horizontal="center"/>
    </xf>
    <xf numFmtId="0" fontId="20" fillId="18" borderId="34" xfId="0" applyFont="1" applyFill="1" applyBorder="1" applyAlignment="1">
      <alignment horizontal="left"/>
    </xf>
    <xf numFmtId="0" fontId="20" fillId="18" borderId="35" xfId="0" applyFont="1" applyFill="1" applyBorder="1" applyAlignment="1">
      <alignment horizontal="left"/>
    </xf>
    <xf numFmtId="0" fontId="0" fillId="18" borderId="34" xfId="0" applyFill="1" applyBorder="1" applyAlignment="1">
      <alignment horizontal="left"/>
    </xf>
    <xf numFmtId="0" fontId="0" fillId="18" borderId="35" xfId="0" applyFill="1" applyBorder="1" applyAlignment="1">
      <alignment horizontal="left"/>
    </xf>
    <xf numFmtId="0" fontId="0" fillId="3" borderId="34" xfId="0" applyFill="1" applyBorder="1" applyAlignment="1">
      <alignment horizontal="left"/>
    </xf>
    <xf numFmtId="0" fontId="0" fillId="3" borderId="35" xfId="0" applyFill="1" applyBorder="1" applyAlignment="1">
      <alignment horizontal="left"/>
    </xf>
    <xf numFmtId="0" fontId="0" fillId="3" borderId="57" xfId="0" applyFill="1" applyBorder="1" applyAlignment="1">
      <alignment horizontal="left"/>
    </xf>
    <xf numFmtId="0" fontId="0" fillId="3" borderId="58" xfId="0" applyFill="1" applyBorder="1" applyAlignment="1">
      <alignment horizontal="left"/>
    </xf>
    <xf numFmtId="0" fontId="0" fillId="18" borderId="53" xfId="0" applyFill="1" applyBorder="1" applyAlignment="1">
      <alignment horizontal="left"/>
    </xf>
    <xf numFmtId="0" fontId="23" fillId="3" borderId="34" xfId="0" applyFont="1" applyFill="1" applyBorder="1" applyAlignment="1">
      <alignment horizontal="center"/>
    </xf>
    <xf numFmtId="0" fontId="23" fillId="3" borderId="35" xfId="0" applyFont="1" applyFill="1" applyBorder="1" applyAlignment="1">
      <alignment horizontal="center"/>
    </xf>
    <xf numFmtId="0" fontId="23" fillId="3" borderId="53" xfId="0" applyFont="1" applyFill="1" applyBorder="1" applyAlignment="1">
      <alignment horizontal="center"/>
    </xf>
    <xf numFmtId="0" fontId="23" fillId="7" borderId="47" xfId="0" applyFont="1" applyFill="1" applyBorder="1" applyAlignment="1">
      <alignment horizontal="left"/>
    </xf>
    <xf numFmtId="0" fontId="23" fillId="7" borderId="35" xfId="0" applyFont="1" applyFill="1" applyBorder="1" applyAlignment="1">
      <alignment horizontal="left"/>
    </xf>
    <xf numFmtId="0" fontId="23" fillId="7" borderId="36" xfId="0" applyFont="1" applyFill="1" applyBorder="1" applyAlignment="1">
      <alignment horizontal="left"/>
    </xf>
    <xf numFmtId="0" fontId="29" fillId="0" borderId="55" xfId="0" applyFont="1" applyBorder="1" applyAlignment="1">
      <alignment horizontal="center" vertical="center"/>
    </xf>
    <xf numFmtId="0" fontId="27" fillId="0" borderId="0" xfId="0" applyFont="1" applyBorder="1" applyAlignment="1">
      <alignment horizontal="center" vertical="center"/>
    </xf>
    <xf numFmtId="0" fontId="27" fillId="0" borderId="56" xfId="0" applyFont="1" applyBorder="1" applyAlignment="1">
      <alignment horizontal="center" vertical="center"/>
    </xf>
    <xf numFmtId="0" fontId="27" fillId="0" borderId="55" xfId="0" applyFont="1" applyBorder="1" applyAlignment="1">
      <alignment horizontal="center" vertical="center"/>
    </xf>
    <xf numFmtId="0" fontId="27" fillId="0" borderId="55" xfId="0" applyFont="1" applyBorder="1" applyAlignment="1">
      <alignment horizontal="center" vertical="center" wrapText="1"/>
    </xf>
    <xf numFmtId="0" fontId="27" fillId="0" borderId="0" xfId="0" applyFont="1" applyBorder="1" applyAlignment="1">
      <alignment horizontal="center" vertical="center" wrapText="1"/>
    </xf>
    <xf numFmtId="0" fontId="27" fillId="0" borderId="56" xfId="0" applyFont="1" applyBorder="1" applyAlignment="1">
      <alignment horizontal="center" vertical="center" wrapText="1"/>
    </xf>
    <xf numFmtId="0" fontId="27" fillId="0" borderId="55" xfId="0" applyFont="1" applyBorder="1" applyAlignment="1">
      <alignment horizontal="center" vertical="top" wrapText="1"/>
    </xf>
    <xf numFmtId="0" fontId="27" fillId="0" borderId="0" xfId="0" applyFont="1" applyBorder="1" applyAlignment="1">
      <alignment horizontal="center" vertical="top" wrapText="1"/>
    </xf>
    <xf numFmtId="0" fontId="27" fillId="0" borderId="56" xfId="0" applyFont="1" applyBorder="1" applyAlignment="1">
      <alignment horizontal="center" vertical="top" wrapText="1"/>
    </xf>
    <xf numFmtId="0" fontId="47" fillId="0" borderId="55" xfId="0" applyFont="1" applyBorder="1" applyAlignment="1">
      <alignment horizontal="center" vertical="center" wrapText="1"/>
    </xf>
    <xf numFmtId="0" fontId="47" fillId="0" borderId="0" xfId="0" applyFont="1" applyBorder="1" applyAlignment="1">
      <alignment horizontal="center" vertical="center" wrapText="1"/>
    </xf>
    <xf numFmtId="0" fontId="47" fillId="0" borderId="56" xfId="0" applyFont="1" applyBorder="1" applyAlignment="1">
      <alignment horizontal="center" vertical="center" wrapText="1"/>
    </xf>
    <xf numFmtId="0" fontId="0" fillId="0" borderId="55" xfId="0" applyBorder="1" applyAlignment="1">
      <alignment horizontal="center"/>
    </xf>
    <xf numFmtId="0" fontId="0" fillId="0" borderId="0" xfId="0" applyBorder="1" applyAlignment="1">
      <alignment horizontal="center"/>
    </xf>
    <xf numFmtId="0" fontId="0" fillId="0" borderId="56" xfId="0" applyBorder="1" applyAlignment="1">
      <alignment horizontal="center"/>
    </xf>
    <xf numFmtId="0" fontId="27" fillId="0" borderId="55" xfId="0" applyFont="1" applyBorder="1" applyAlignment="1">
      <alignment horizontal="center"/>
    </xf>
    <xf numFmtId="0" fontId="27" fillId="0" borderId="0" xfId="0" applyFont="1" applyBorder="1" applyAlignment="1">
      <alignment horizontal="center"/>
    </xf>
    <xf numFmtId="0" fontId="27" fillId="0" borderId="56" xfId="0" applyFont="1" applyBorder="1" applyAlignment="1">
      <alignment horizontal="center"/>
    </xf>
    <xf numFmtId="0" fontId="27" fillId="0" borderId="55" xfId="0" applyFont="1" applyBorder="1" applyAlignment="1">
      <alignment horizontal="right"/>
    </xf>
    <xf numFmtId="0" fontId="27" fillId="0" borderId="0" xfId="0" applyFont="1" applyBorder="1" applyAlignment="1">
      <alignment horizontal="right"/>
    </xf>
    <xf numFmtId="0" fontId="28" fillId="0" borderId="0" xfId="11" applyFont="1" applyBorder="1" applyAlignment="1" applyProtection="1">
      <alignment horizontal="left"/>
      <protection locked="0"/>
    </xf>
    <xf numFmtId="0" fontId="28" fillId="0" borderId="0" xfId="11" applyFont="1" applyBorder="1" applyAlignment="1" applyProtection="1">
      <alignment horizontal="center"/>
      <protection locked="0"/>
    </xf>
    <xf numFmtId="0" fontId="34" fillId="0" borderId="34" xfId="0" applyFont="1" applyFill="1" applyBorder="1" applyAlignment="1" applyProtection="1">
      <alignment horizontal="center"/>
    </xf>
    <xf numFmtId="0" fontId="34" fillId="0" borderId="35" xfId="0" applyFont="1" applyFill="1" applyBorder="1" applyAlignment="1" applyProtection="1">
      <alignment horizontal="center"/>
    </xf>
    <xf numFmtId="0" fontId="34" fillId="0" borderId="36" xfId="0" applyFont="1" applyFill="1" applyBorder="1" applyAlignment="1" applyProtection="1">
      <alignment horizontal="center"/>
    </xf>
    <xf numFmtId="0" fontId="35" fillId="0" borderId="49" xfId="0" applyFont="1" applyFill="1" applyBorder="1" applyAlignment="1" applyProtection="1">
      <alignment horizontal="center"/>
    </xf>
    <xf numFmtId="0" fontId="12" fillId="0" borderId="21" xfId="0" applyFont="1" applyFill="1" applyBorder="1" applyAlignment="1" applyProtection="1">
      <alignment horizontal="center"/>
    </xf>
    <xf numFmtId="0" fontId="12" fillId="0" borderId="23" xfId="0" applyFont="1" applyFill="1" applyBorder="1" applyAlignment="1" applyProtection="1">
      <alignment horizontal="center"/>
    </xf>
    <xf numFmtId="0" fontId="12" fillId="0" borderId="63" xfId="0" applyFont="1" applyFill="1" applyBorder="1" applyAlignment="1" applyProtection="1">
      <alignment horizontal="center"/>
    </xf>
    <xf numFmtId="0" fontId="12" fillId="0" borderId="34" xfId="0" applyFont="1" applyFill="1" applyBorder="1" applyAlignment="1" applyProtection="1">
      <alignment horizontal="center"/>
    </xf>
    <xf numFmtId="0" fontId="12" fillId="0" borderId="35" xfId="0" applyFont="1" applyFill="1" applyBorder="1" applyAlignment="1" applyProtection="1">
      <alignment horizontal="center"/>
    </xf>
    <xf numFmtId="0" fontId="12" fillId="0" borderId="36" xfId="0" applyFont="1" applyFill="1" applyBorder="1" applyAlignment="1" applyProtection="1">
      <alignment horizontal="center"/>
    </xf>
    <xf numFmtId="0" fontId="36" fillId="0" borderId="17" xfId="0" applyFont="1" applyFill="1" applyBorder="1" applyAlignment="1" applyProtection="1">
      <alignment horizontal="left"/>
    </xf>
    <xf numFmtId="0" fontId="36" fillId="0" borderId="20" xfId="0" applyFont="1" applyFill="1" applyBorder="1" applyAlignment="1" applyProtection="1">
      <alignment horizontal="left"/>
    </xf>
    <xf numFmtId="0" fontId="3" fillId="0" borderId="20" xfId="0" applyFont="1" applyFill="1" applyBorder="1" applyAlignment="1" applyProtection="1">
      <alignment horizontal="left"/>
    </xf>
    <xf numFmtId="0" fontId="3" fillId="0" borderId="18" xfId="0" applyFont="1" applyFill="1" applyBorder="1" applyAlignment="1" applyProtection="1">
      <alignment horizontal="left"/>
    </xf>
    <xf numFmtId="0" fontId="36" fillId="0" borderId="9" xfId="0" applyFont="1" applyFill="1" applyBorder="1" applyAlignment="1" applyProtection="1">
      <alignment horizontal="left"/>
    </xf>
    <xf numFmtId="0" fontId="36" fillId="0" borderId="1" xfId="0" applyFont="1" applyFill="1" applyBorder="1" applyAlignment="1" applyProtection="1">
      <alignment horizontal="left"/>
    </xf>
    <xf numFmtId="0" fontId="3" fillId="0" borderId="2" xfId="0" applyFont="1" applyFill="1" applyBorder="1" applyAlignment="1" applyProtection="1">
      <alignment horizontal="left"/>
    </xf>
    <xf numFmtId="0" fontId="3" fillId="0" borderId="3" xfId="0" applyFont="1" applyFill="1" applyBorder="1" applyAlignment="1" applyProtection="1">
      <alignment horizontal="left"/>
    </xf>
    <xf numFmtId="0" fontId="36" fillId="0" borderId="2" xfId="0" applyFont="1" applyFill="1" applyBorder="1" applyAlignment="1" applyProtection="1">
      <alignment horizontal="left"/>
    </xf>
    <xf numFmtId="0" fontId="36" fillId="0" borderId="3" xfId="0" applyFont="1" applyFill="1" applyBorder="1" applyAlignment="1" applyProtection="1">
      <alignment horizontal="left"/>
    </xf>
    <xf numFmtId="0" fontId="36" fillId="0" borderId="9" xfId="0" quotePrefix="1" applyFont="1" applyFill="1" applyBorder="1" applyAlignment="1" applyProtection="1">
      <alignment horizontal="left"/>
    </xf>
    <xf numFmtId="0" fontId="36" fillId="0" borderId="1" xfId="0" quotePrefix="1" applyFont="1" applyFill="1" applyBorder="1" applyAlignment="1" applyProtection="1">
      <alignment horizontal="left"/>
    </xf>
    <xf numFmtId="0" fontId="36" fillId="0" borderId="2" xfId="0" quotePrefix="1" applyFont="1" applyFill="1" applyBorder="1" applyAlignment="1" applyProtection="1">
      <alignment horizontal="left"/>
    </xf>
    <xf numFmtId="0" fontId="36" fillId="0" borderId="5" xfId="0" quotePrefix="1" applyFont="1" applyFill="1" applyBorder="1" applyAlignment="1" applyProtection="1">
      <alignment horizontal="left"/>
    </xf>
    <xf numFmtId="0" fontId="36" fillId="0" borderId="3" xfId="0" quotePrefix="1" applyFont="1" applyFill="1" applyBorder="1" applyAlignment="1" applyProtection="1">
      <alignment horizontal="left"/>
    </xf>
    <xf numFmtId="0" fontId="3" fillId="0" borderId="42" xfId="0" applyFont="1" applyFill="1" applyBorder="1" applyAlignment="1" applyProtection="1">
      <alignment horizontal="left"/>
    </xf>
    <xf numFmtId="0" fontId="3" fillId="0" borderId="1" xfId="0" applyFont="1" applyFill="1" applyBorder="1" applyAlignment="1" applyProtection="1">
      <alignment horizontal="left"/>
    </xf>
    <xf numFmtId="0" fontId="36" fillId="0" borderId="5" xfId="0" applyFont="1" applyFill="1" applyBorder="1" applyAlignment="1" applyProtection="1">
      <alignment horizontal="left"/>
    </xf>
    <xf numFmtId="0" fontId="36" fillId="0" borderId="11" xfId="0" quotePrefix="1" applyFont="1" applyFill="1" applyBorder="1" applyAlignment="1" applyProtection="1">
      <alignment horizontal="left"/>
    </xf>
    <xf numFmtId="0" fontId="36" fillId="0" borderId="14" xfId="0" quotePrefix="1" applyFont="1" applyFill="1" applyBorder="1" applyAlignment="1" applyProtection="1">
      <alignment horizontal="left"/>
    </xf>
    <xf numFmtId="0" fontId="3" fillId="0" borderId="15" xfId="0" applyFont="1" applyFill="1" applyBorder="1" applyAlignment="1" applyProtection="1">
      <alignment horizontal="left"/>
    </xf>
    <xf numFmtId="0" fontId="3" fillId="0" borderId="33" xfId="0" applyFont="1" applyFill="1" applyBorder="1" applyAlignment="1" applyProtection="1">
      <alignment horizontal="left"/>
    </xf>
    <xf numFmtId="0" fontId="36" fillId="0" borderId="15" xfId="0" applyFont="1" applyFill="1" applyBorder="1" applyAlignment="1" applyProtection="1">
      <alignment horizontal="left"/>
    </xf>
    <xf numFmtId="0" fontId="36" fillId="0" borderId="16" xfId="0" applyFont="1" applyFill="1" applyBorder="1" applyAlignment="1" applyProtection="1">
      <alignment horizontal="left"/>
    </xf>
    <xf numFmtId="0" fontId="36" fillId="0" borderId="33" xfId="0" applyFont="1" applyFill="1" applyBorder="1" applyAlignment="1" applyProtection="1">
      <alignment horizontal="left"/>
    </xf>
    <xf numFmtId="0" fontId="3" fillId="0" borderId="41" xfId="0" applyFont="1" applyFill="1" applyBorder="1" applyAlignment="1" applyProtection="1">
      <alignment horizontal="left"/>
    </xf>
    <xf numFmtId="0" fontId="36" fillId="0" borderId="9" xfId="0" applyFont="1" applyFill="1" applyBorder="1" applyProtection="1"/>
    <xf numFmtId="0" fontId="36" fillId="0" borderId="5" xfId="0" applyFont="1" applyFill="1" applyBorder="1" applyProtection="1"/>
    <xf numFmtId="0" fontId="36" fillId="0" borderId="3" xfId="0" applyFont="1" applyFill="1" applyBorder="1" applyProtection="1"/>
    <xf numFmtId="0" fontId="36" fillId="0" borderId="1" xfId="0" applyFont="1" applyFill="1" applyBorder="1" applyProtection="1"/>
    <xf numFmtId="0" fontId="36" fillId="0" borderId="46" xfId="0" quotePrefix="1" applyFont="1" applyFill="1" applyBorder="1" applyProtection="1"/>
    <xf numFmtId="0" fontId="36" fillId="0" borderId="6" xfId="0" applyFont="1" applyFill="1" applyBorder="1" applyProtection="1"/>
    <xf numFmtId="0" fontId="3" fillId="0" borderId="58" xfId="0" applyFont="1" applyFill="1" applyBorder="1" applyAlignment="1" applyProtection="1">
      <alignment horizontal="center"/>
    </xf>
    <xf numFmtId="0" fontId="12" fillId="0" borderId="37" xfId="0" applyFont="1" applyFill="1" applyBorder="1" applyAlignment="1" applyProtection="1">
      <alignment horizontal="center"/>
    </xf>
    <xf numFmtId="0" fontId="12" fillId="0" borderId="24" xfId="0" applyFont="1" applyFill="1" applyBorder="1" applyAlignment="1" applyProtection="1">
      <alignment horizontal="center"/>
    </xf>
    <xf numFmtId="0" fontId="12" fillId="0" borderId="39" xfId="0" applyFont="1" applyFill="1" applyBorder="1" applyAlignment="1" applyProtection="1">
      <alignment horizontal="center"/>
    </xf>
    <xf numFmtId="0" fontId="3" fillId="0" borderId="40" xfId="0" applyFont="1" applyFill="1" applyBorder="1" applyAlignment="1" applyProtection="1">
      <alignment horizontal="right"/>
    </xf>
    <xf numFmtId="0" fontId="3" fillId="0" borderId="38" xfId="0" applyFont="1" applyFill="1" applyBorder="1" applyAlignment="1" applyProtection="1">
      <alignment horizontal="right"/>
    </xf>
    <xf numFmtId="0" fontId="36" fillId="0" borderId="7" xfId="0" applyFont="1" applyFill="1" applyBorder="1" applyProtection="1"/>
    <xf numFmtId="0" fontId="36" fillId="0" borderId="38" xfId="0" applyFont="1" applyFill="1" applyBorder="1" applyProtection="1"/>
    <xf numFmtId="0" fontId="36" fillId="0" borderId="13" xfId="0" applyFont="1" applyFill="1" applyBorder="1" applyProtection="1"/>
    <xf numFmtId="0" fontId="36" fillId="0" borderId="9" xfId="0" quotePrefix="1" applyFont="1" applyFill="1" applyBorder="1" applyProtection="1"/>
    <xf numFmtId="0" fontId="3" fillId="0" borderId="35" xfId="0" applyFont="1" applyFill="1" applyBorder="1" applyAlignment="1" applyProtection="1">
      <alignment horizontal="center"/>
    </xf>
    <xf numFmtId="0" fontId="36" fillId="0" borderId="34" xfId="0" applyFont="1" applyFill="1" applyBorder="1" applyAlignment="1" applyProtection="1">
      <alignment horizontal="center"/>
    </xf>
    <xf numFmtId="0" fontId="36" fillId="0" borderId="35" xfId="0" applyFont="1" applyFill="1" applyBorder="1" applyAlignment="1" applyProtection="1">
      <alignment horizontal="center"/>
    </xf>
    <xf numFmtId="0" fontId="36" fillId="0" borderId="53" xfId="0" applyFont="1" applyFill="1" applyBorder="1" applyAlignment="1" applyProtection="1">
      <alignment horizontal="center"/>
    </xf>
    <xf numFmtId="0" fontId="36" fillId="0" borderId="21" xfId="0" applyFont="1" applyFill="1" applyBorder="1" applyAlignment="1" applyProtection="1">
      <alignment horizontal="center"/>
    </xf>
    <xf numFmtId="0" fontId="36" fillId="0" borderId="22" xfId="0" applyFont="1" applyFill="1" applyBorder="1" applyAlignment="1" applyProtection="1">
      <alignment horizontal="center"/>
    </xf>
    <xf numFmtId="0" fontId="3" fillId="0" borderId="17" xfId="0" applyFont="1" applyFill="1" applyBorder="1" applyAlignment="1" applyProtection="1">
      <alignment horizontal="left" shrinkToFit="1"/>
    </xf>
    <xf numFmtId="0" fontId="3" fillId="0" borderId="20" xfId="0" applyFont="1" applyFill="1" applyBorder="1" applyAlignment="1" applyProtection="1">
      <alignment horizontal="left" shrinkToFit="1"/>
    </xf>
    <xf numFmtId="0" fontId="3" fillId="0" borderId="29" xfId="0" applyFont="1" applyFill="1" applyBorder="1" applyAlignment="1" applyProtection="1">
      <alignment horizontal="left" shrinkToFit="1"/>
    </xf>
    <xf numFmtId="0" fontId="3" fillId="0" borderId="28" xfId="0" applyFont="1" applyFill="1" applyBorder="1" applyAlignment="1" applyProtection="1">
      <alignment horizontal="left" shrinkToFit="1"/>
    </xf>
    <xf numFmtId="0" fontId="36" fillId="0" borderId="9" xfId="0" applyFont="1" applyFill="1" applyBorder="1" applyAlignment="1" applyProtection="1">
      <alignment horizontal="center"/>
    </xf>
    <xf numFmtId="0" fontId="36" fillId="0" borderId="3" xfId="0" applyFont="1" applyFill="1" applyBorder="1" applyAlignment="1" applyProtection="1">
      <alignment horizontal="center"/>
    </xf>
    <xf numFmtId="0" fontId="36" fillId="0" borderId="1" xfId="0" applyFont="1" applyFill="1" applyBorder="1" applyAlignment="1" applyProtection="1">
      <alignment horizontal="center"/>
    </xf>
    <xf numFmtId="0" fontId="36" fillId="0" borderId="30" xfId="0" applyFont="1" applyFill="1" applyBorder="1" applyAlignment="1" applyProtection="1">
      <alignment horizontal="left"/>
    </xf>
    <xf numFmtId="0" fontId="36" fillId="0" borderId="31" xfId="0" applyFont="1" applyFill="1" applyBorder="1" applyAlignment="1" applyProtection="1">
      <alignment horizontal="left"/>
    </xf>
    <xf numFmtId="0" fontId="36" fillId="0" borderId="38" xfId="0" applyFont="1" applyFill="1" applyBorder="1" applyAlignment="1" applyProtection="1">
      <alignment horizontal="left"/>
    </xf>
    <xf numFmtId="0" fontId="36" fillId="0" borderId="11" xfId="0" applyFont="1" applyFill="1" applyBorder="1" applyProtection="1"/>
    <xf numFmtId="0" fontId="36" fillId="0" borderId="14" xfId="0" applyFont="1" applyFill="1" applyBorder="1" applyProtection="1"/>
    <xf numFmtId="0" fontId="36" fillId="0" borderId="33" xfId="0" quotePrefix="1" applyFont="1" applyFill="1" applyBorder="1" applyAlignment="1" applyProtection="1">
      <alignment horizontal="left"/>
    </xf>
    <xf numFmtId="0" fontId="36" fillId="0" borderId="32" xfId="0" applyFont="1" applyFill="1" applyBorder="1" applyAlignment="1" applyProtection="1">
      <alignment horizontal="left"/>
    </xf>
    <xf numFmtId="0" fontId="3" fillId="0" borderId="9" xfId="0" applyFont="1" applyFill="1" applyBorder="1" applyAlignment="1" applyProtection="1">
      <alignment horizontal="left" shrinkToFit="1"/>
    </xf>
    <xf numFmtId="0" fontId="3" fillId="0" borderId="1" xfId="0" applyFont="1" applyFill="1" applyBorder="1" applyAlignment="1" applyProtection="1">
      <alignment horizontal="left" shrinkToFit="1"/>
    </xf>
    <xf numFmtId="0" fontId="3" fillId="0" borderId="5" xfId="0" applyFont="1" applyFill="1" applyBorder="1" applyAlignment="1" applyProtection="1">
      <alignment horizontal="left" shrinkToFit="1"/>
    </xf>
    <xf numFmtId="0" fontId="3" fillId="0" borderId="3" xfId="0" applyFont="1" applyFill="1" applyBorder="1" applyAlignment="1" applyProtection="1">
      <alignment horizontal="left" shrinkToFit="1"/>
    </xf>
    <xf numFmtId="0" fontId="36" fillId="0" borderId="17" xfId="0" applyFont="1" applyFill="1" applyBorder="1" applyProtection="1"/>
    <xf numFmtId="0" fontId="36" fillId="0" borderId="20" xfId="0" applyFont="1" applyFill="1" applyBorder="1" applyProtection="1"/>
    <xf numFmtId="0" fontId="36" fillId="0" borderId="19" xfId="0" applyFont="1" applyFill="1" applyBorder="1" applyProtection="1"/>
    <xf numFmtId="0" fontId="36" fillId="0" borderId="29" xfId="0" applyFont="1" applyFill="1" applyBorder="1" applyProtection="1"/>
    <xf numFmtId="0" fontId="36" fillId="0" borderId="28" xfId="0" applyFont="1" applyFill="1" applyBorder="1" applyProtection="1"/>
    <xf numFmtId="0" fontId="3" fillId="0" borderId="11" xfId="0" applyFont="1" applyFill="1" applyBorder="1" applyAlignment="1" applyProtection="1">
      <alignment horizontal="left" shrinkToFit="1"/>
    </xf>
    <xf numFmtId="0" fontId="3" fillId="0" borderId="14" xfId="0" applyFont="1" applyFill="1" applyBorder="1" applyAlignment="1" applyProtection="1">
      <alignment horizontal="left" shrinkToFit="1"/>
    </xf>
    <xf numFmtId="0" fontId="3" fillId="0" borderId="16" xfId="0" applyFont="1" applyFill="1" applyBorder="1" applyAlignment="1" applyProtection="1">
      <alignment horizontal="left" shrinkToFit="1"/>
    </xf>
    <xf numFmtId="0" fontId="3" fillId="0" borderId="33" xfId="0" applyFont="1" applyFill="1" applyBorder="1" applyAlignment="1" applyProtection="1">
      <alignment horizontal="left" shrinkToFit="1"/>
    </xf>
    <xf numFmtId="0" fontId="12" fillId="0" borderId="54" xfId="0" applyFont="1" applyFill="1" applyBorder="1" applyAlignment="1" applyProtection="1">
      <alignment horizontal="center"/>
    </xf>
    <xf numFmtId="0" fontId="12" fillId="0" borderId="49" xfId="0" applyFont="1" applyFill="1" applyBorder="1" applyAlignment="1" applyProtection="1">
      <alignment horizontal="center"/>
    </xf>
    <xf numFmtId="0" fontId="12" fillId="0" borderId="50" xfId="0" applyFont="1" applyFill="1" applyBorder="1" applyAlignment="1" applyProtection="1">
      <alignment horizontal="center"/>
    </xf>
    <xf numFmtId="0" fontId="3" fillId="0" borderId="30" xfId="0" applyFont="1" applyFill="1" applyBorder="1" applyAlignment="1" applyProtection="1">
      <alignment horizontal="left"/>
    </xf>
    <xf numFmtId="0" fontId="3" fillId="0" borderId="31" xfId="0" applyFont="1" applyFill="1" applyBorder="1" applyAlignment="1" applyProtection="1">
      <alignment horizontal="left"/>
    </xf>
    <xf numFmtId="0" fontId="3" fillId="0" borderId="38" xfId="0" applyFont="1" applyFill="1" applyBorder="1" applyAlignment="1" applyProtection="1">
      <alignment horizontal="left"/>
    </xf>
    <xf numFmtId="0" fontId="36" fillId="0" borderId="40" xfId="0" applyFont="1" applyFill="1" applyBorder="1" applyAlignment="1" applyProtection="1">
      <alignment horizontal="left"/>
    </xf>
    <xf numFmtId="0" fontId="36" fillId="0" borderId="13" xfId="0" applyFont="1" applyFill="1" applyBorder="1" applyAlignment="1" applyProtection="1">
      <alignment horizontal="left"/>
    </xf>
    <xf numFmtId="0" fontId="36" fillId="0" borderId="26" xfId="0" applyFont="1" applyFill="1" applyBorder="1" applyProtection="1"/>
    <xf numFmtId="0" fontId="36" fillId="0" borderId="2" xfId="0" applyFont="1" applyFill="1" applyBorder="1" applyProtection="1"/>
    <xf numFmtId="0" fontId="36" fillId="0" borderId="32" xfId="0" applyFont="1" applyFill="1" applyBorder="1" applyProtection="1"/>
    <xf numFmtId="0" fontId="36" fillId="0" borderId="16" xfId="0" applyFont="1" applyFill="1" applyBorder="1" applyProtection="1"/>
    <xf numFmtId="0" fontId="36" fillId="0" borderId="33" xfId="0" applyFont="1" applyFill="1" applyBorder="1" applyProtection="1"/>
    <xf numFmtId="0" fontId="36" fillId="0" borderId="15" xfId="0" applyFont="1" applyFill="1" applyBorder="1" applyProtection="1"/>
    <xf numFmtId="0" fontId="46" fillId="0" borderId="45" xfId="0" applyFont="1" applyFill="1" applyBorder="1" applyAlignment="1" applyProtection="1">
      <alignment horizontal="left"/>
    </xf>
    <xf numFmtId="0" fontId="46" fillId="0" borderId="29" xfId="0" applyFont="1" applyFill="1" applyBorder="1" applyAlignment="1" applyProtection="1">
      <alignment horizontal="left"/>
    </xf>
    <xf numFmtId="0" fontId="46" fillId="0" borderId="28" xfId="0" applyFont="1" applyFill="1" applyBorder="1" applyAlignment="1" applyProtection="1">
      <alignment horizontal="left"/>
    </xf>
    <xf numFmtId="0" fontId="3" fillId="0" borderId="19" xfId="0" applyFont="1" applyFill="1" applyBorder="1" applyAlignment="1" applyProtection="1">
      <alignment horizontal="left" shrinkToFit="1"/>
    </xf>
    <xf numFmtId="0" fontId="3" fillId="0" borderId="19" xfId="0" applyFont="1" applyFill="1" applyBorder="1" applyAlignment="1" applyProtection="1">
      <alignment horizontal="left"/>
    </xf>
    <xf numFmtId="0" fontId="3" fillId="0" borderId="28" xfId="0" applyFont="1" applyFill="1" applyBorder="1" applyAlignment="1" applyProtection="1">
      <alignment horizontal="left"/>
    </xf>
    <xf numFmtId="0" fontId="36" fillId="0" borderId="4" xfId="0" applyFont="1" applyFill="1" applyBorder="1" applyAlignment="1" applyProtection="1">
      <alignment horizontal="left"/>
    </xf>
    <xf numFmtId="0" fontId="36" fillId="0" borderId="0" xfId="0" applyFont="1" applyFill="1" applyAlignment="1" applyProtection="1">
      <alignment horizontal="left"/>
    </xf>
    <xf numFmtId="0" fontId="3" fillId="0" borderId="40" xfId="0" applyFont="1" applyFill="1" applyBorder="1" applyAlignment="1" applyProtection="1">
      <alignment horizontal="left"/>
    </xf>
    <xf numFmtId="0" fontId="36" fillId="0" borderId="26" xfId="0" applyFont="1" applyFill="1" applyBorder="1" applyAlignment="1" applyProtection="1">
      <alignment horizontal="left"/>
    </xf>
    <xf numFmtId="0" fontId="36" fillId="0" borderId="6" xfId="0" applyFont="1" applyFill="1" applyBorder="1" applyAlignment="1" applyProtection="1">
      <alignment horizontal="left"/>
    </xf>
    <xf numFmtId="0" fontId="36" fillId="0" borderId="25" xfId="0" applyFont="1" applyFill="1" applyBorder="1" applyProtection="1"/>
    <xf numFmtId="0" fontId="36" fillId="0" borderId="27" xfId="0" applyFont="1" applyFill="1" applyBorder="1" applyProtection="1"/>
    <xf numFmtId="0" fontId="36" fillId="0" borderId="14" xfId="0" applyFont="1" applyFill="1" applyBorder="1" applyAlignment="1" applyProtection="1">
      <alignment horizontal="left"/>
    </xf>
    <xf numFmtId="0" fontId="45" fillId="0" borderId="15" xfId="0" applyFont="1" applyFill="1" applyBorder="1" applyProtection="1"/>
    <xf numFmtId="0" fontId="45" fillId="0" borderId="33" xfId="0" applyFont="1" applyFill="1" applyBorder="1" applyProtection="1"/>
    <xf numFmtId="0" fontId="3" fillId="0" borderId="7" xfId="0" applyFont="1" applyFill="1" applyBorder="1" applyAlignment="1" applyProtection="1">
      <alignment horizontal="left"/>
    </xf>
    <xf numFmtId="0" fontId="3" fillId="0" borderId="13" xfId="0" applyFont="1" applyFill="1" applyBorder="1" applyAlignment="1" applyProtection="1">
      <alignment horizontal="left"/>
    </xf>
    <xf numFmtId="0" fontId="3" fillId="0" borderId="8" xfId="0" applyFont="1" applyFill="1" applyBorder="1" applyAlignment="1" applyProtection="1">
      <alignment horizontal="left"/>
    </xf>
    <xf numFmtId="0" fontId="3" fillId="0" borderId="9" xfId="0" applyFont="1" applyFill="1" applyBorder="1" applyAlignment="1" applyProtection="1">
      <alignment horizontal="left"/>
    </xf>
    <xf numFmtId="0" fontId="3" fillId="0" borderId="10" xfId="0" applyFont="1" applyFill="1" applyBorder="1" applyAlignment="1" applyProtection="1">
      <alignment horizontal="left"/>
    </xf>
    <xf numFmtId="0" fontId="46" fillId="0" borderId="26" xfId="0" applyFont="1" applyFill="1" applyBorder="1" applyAlignment="1" applyProtection="1">
      <alignment horizontal="left"/>
    </xf>
    <xf numFmtId="0" fontId="46" fillId="0" borderId="5" xfId="0" applyFont="1" applyFill="1" applyBorder="1" applyAlignment="1" applyProtection="1">
      <alignment horizontal="left"/>
    </xf>
    <xf numFmtId="0" fontId="46" fillId="0" borderId="3" xfId="0" applyFont="1" applyFill="1" applyBorder="1" applyAlignment="1" applyProtection="1">
      <alignment horizontal="left"/>
    </xf>
    <xf numFmtId="0" fontId="3" fillId="0" borderId="2" xfId="0" applyFont="1" applyFill="1" applyBorder="1" applyAlignment="1" applyProtection="1">
      <alignment horizontal="left" shrinkToFit="1"/>
    </xf>
    <xf numFmtId="0" fontId="46" fillId="0" borderId="32" xfId="0" applyFont="1" applyFill="1" applyBorder="1" applyAlignment="1" applyProtection="1">
      <alignment horizontal="left"/>
    </xf>
    <xf numFmtId="0" fontId="46" fillId="0" borderId="16" xfId="0" applyFont="1" applyFill="1" applyBorder="1" applyAlignment="1" applyProtection="1">
      <alignment horizontal="left"/>
    </xf>
    <xf numFmtId="0" fontId="46" fillId="0" borderId="33" xfId="0" applyFont="1" applyFill="1" applyBorder="1" applyAlignment="1" applyProtection="1">
      <alignment horizontal="left"/>
    </xf>
    <xf numFmtId="0" fontId="3" fillId="0" borderId="15" xfId="0" applyFont="1" applyFill="1" applyBorder="1" applyAlignment="1" applyProtection="1">
      <alignment horizontal="left" shrinkToFit="1"/>
    </xf>
    <xf numFmtId="0" fontId="3" fillId="0" borderId="41" xfId="0" applyFont="1" applyFill="1" applyBorder="1" applyAlignment="1" applyProtection="1">
      <alignment horizontal="left" shrinkToFit="1"/>
    </xf>
    <xf numFmtId="0" fontId="3" fillId="0" borderId="11" xfId="0" applyFont="1" applyFill="1" applyBorder="1" applyAlignment="1" applyProtection="1">
      <alignment horizontal="left"/>
    </xf>
    <xf numFmtId="0" fontId="3" fillId="0" borderId="14" xfId="0" applyFont="1" applyFill="1" applyBorder="1" applyAlignment="1" applyProtection="1">
      <alignment horizontal="left"/>
    </xf>
    <xf numFmtId="0" fontId="3" fillId="0" borderId="12" xfId="0" applyFont="1" applyFill="1" applyBorder="1" applyAlignment="1" applyProtection="1">
      <alignment horizontal="left"/>
    </xf>
    <xf numFmtId="0" fontId="34" fillId="0" borderId="21" xfId="0" applyFont="1" applyFill="1" applyBorder="1" applyAlignment="1" applyProtection="1">
      <alignment horizontal="center"/>
    </xf>
    <xf numFmtId="0" fontId="34" fillId="0" borderId="22" xfId="0" applyFont="1" applyFill="1" applyBorder="1" applyAlignment="1" applyProtection="1">
      <alignment horizontal="center"/>
    </xf>
    <xf numFmtId="0" fontId="34" fillId="0" borderId="23" xfId="0" applyFont="1" applyFill="1" applyBorder="1" applyAlignment="1" applyProtection="1">
      <alignment horizontal="center"/>
    </xf>
    <xf numFmtId="0" fontId="35" fillId="0" borderId="0" xfId="0" applyFont="1" applyFill="1" applyAlignment="1" applyProtection="1">
      <alignment horizontal="center"/>
    </xf>
    <xf numFmtId="0" fontId="12" fillId="0" borderId="56" xfId="0" applyFont="1" applyFill="1" applyBorder="1" applyAlignment="1" applyProtection="1">
      <alignment horizontal="center"/>
    </xf>
    <xf numFmtId="0" fontId="12" fillId="0" borderId="0" xfId="0" applyFont="1" applyFill="1" applyBorder="1" applyAlignment="1" applyProtection="1">
      <alignment horizontal="center"/>
    </xf>
    <xf numFmtId="0" fontId="36" fillId="0" borderId="36" xfId="0" applyFont="1" applyFill="1" applyBorder="1" applyAlignment="1" applyProtection="1">
      <alignment horizontal="center"/>
    </xf>
    <xf numFmtId="0" fontId="36" fillId="0" borderId="37" xfId="0" applyFont="1" applyFill="1" applyBorder="1" applyAlignment="1" applyProtection="1">
      <alignment horizontal="center"/>
    </xf>
    <xf numFmtId="0" fontId="36" fillId="0" borderId="24" xfId="0" applyFont="1" applyFill="1" applyBorder="1" applyAlignment="1" applyProtection="1">
      <alignment horizontal="center"/>
    </xf>
    <xf numFmtId="0" fontId="3" fillId="0" borderId="45" xfId="0" applyFont="1" applyFill="1" applyBorder="1" applyAlignment="1" applyProtection="1">
      <alignment horizontal="right" shrinkToFit="1"/>
    </xf>
    <xf numFmtId="0" fontId="3" fillId="0" borderId="29" xfId="0" applyFont="1" applyFill="1" applyBorder="1" applyAlignment="1" applyProtection="1">
      <alignment horizontal="right" shrinkToFit="1"/>
    </xf>
    <xf numFmtId="0" fontId="3" fillId="0" borderId="5" xfId="0" applyFont="1" applyFill="1" applyBorder="1" applyAlignment="1" applyProtection="1">
      <alignment horizontal="left"/>
    </xf>
    <xf numFmtId="0" fontId="3" fillId="0" borderId="29" xfId="0" applyFont="1" applyFill="1" applyBorder="1" applyAlignment="1" applyProtection="1">
      <alignment horizontal="left"/>
    </xf>
    <xf numFmtId="0" fontId="3" fillId="0" borderId="67" xfId="0" applyFont="1" applyFill="1" applyBorder="1" applyAlignment="1" applyProtection="1">
      <alignment horizontal="left"/>
    </xf>
    <xf numFmtId="0" fontId="36" fillId="0" borderId="34" xfId="0" applyFont="1" applyFill="1" applyBorder="1" applyAlignment="1" applyProtection="1">
      <alignment horizontal="right" shrinkToFit="1"/>
    </xf>
    <xf numFmtId="0" fontId="36" fillId="0" borderId="35" xfId="0" applyFont="1" applyFill="1" applyBorder="1" applyAlignment="1" applyProtection="1">
      <alignment horizontal="right" shrinkToFit="1"/>
    </xf>
    <xf numFmtId="0" fontId="36" fillId="0" borderId="35" xfId="0" applyFont="1" applyFill="1" applyBorder="1" applyAlignment="1" applyProtection="1">
      <alignment horizontal="left"/>
    </xf>
    <xf numFmtId="0" fontId="36" fillId="0" borderId="36" xfId="0" applyFont="1" applyFill="1" applyBorder="1" applyAlignment="1" applyProtection="1">
      <alignment horizontal="left"/>
    </xf>
    <xf numFmtId="0" fontId="36" fillId="0" borderId="23" xfId="0" applyFont="1" applyFill="1" applyBorder="1" applyAlignment="1" applyProtection="1">
      <alignment horizontal="center"/>
    </xf>
    <xf numFmtId="0" fontId="3" fillId="0" borderId="16" xfId="0" applyFont="1" applyFill="1" applyBorder="1" applyAlignment="1" applyProtection="1">
      <alignment horizontal="left"/>
    </xf>
    <xf numFmtId="0" fontId="3" fillId="0" borderId="17" xfId="0" applyFont="1" applyFill="1" applyBorder="1" applyAlignment="1" applyProtection="1">
      <alignment horizontal="left"/>
    </xf>
    <xf numFmtId="0" fontId="3" fillId="0" borderId="10" xfId="0" applyFont="1" applyFill="1" applyBorder="1" applyAlignment="1" applyProtection="1">
      <alignment horizontal="right"/>
    </xf>
    <xf numFmtId="0" fontId="3" fillId="0" borderId="49" xfId="0" applyFont="1" applyFill="1" applyBorder="1" applyAlignment="1" applyProtection="1">
      <alignment horizontal="center"/>
    </xf>
    <xf numFmtId="0" fontId="3" fillId="0" borderId="1" xfId="0" applyFont="1" applyFill="1" applyBorder="1" applyAlignment="1" applyProtection="1">
      <alignment horizontal="center"/>
    </xf>
    <xf numFmtId="0" fontId="3" fillId="0" borderId="1" xfId="0" applyFont="1" applyFill="1" applyBorder="1" applyAlignment="1" applyProtection="1">
      <alignment horizontal="right" shrinkToFit="1"/>
    </xf>
    <xf numFmtId="0" fontId="36" fillId="0" borderId="7" xfId="0" applyFont="1" applyFill="1" applyBorder="1" applyAlignment="1" applyProtection="1">
      <alignment horizontal="left"/>
    </xf>
    <xf numFmtId="0" fontId="36" fillId="0" borderId="51" xfId="0" applyFont="1" applyFill="1" applyBorder="1" applyAlignment="1" applyProtection="1">
      <alignment horizontal="center"/>
    </xf>
    <xf numFmtId="0" fontId="36" fillId="0" borderId="52" xfId="0" applyFont="1" applyFill="1" applyBorder="1" applyAlignment="1" applyProtection="1">
      <alignment horizontal="center"/>
    </xf>
    <xf numFmtId="0" fontId="36" fillId="0" borderId="52" xfId="0" applyFont="1" applyFill="1" applyBorder="1" applyAlignment="1" applyProtection="1">
      <alignment horizontal="left"/>
    </xf>
    <xf numFmtId="0" fontId="3" fillId="0" borderId="47" xfId="0" applyFont="1" applyFill="1" applyBorder="1" applyAlignment="1" applyProtection="1">
      <alignment horizontal="right"/>
    </xf>
    <xf numFmtId="0" fontId="3" fillId="0" borderId="53" xfId="0" applyFont="1" applyFill="1" applyBorder="1" applyAlignment="1" applyProtection="1">
      <alignment horizontal="right"/>
    </xf>
    <xf numFmtId="0" fontId="12" fillId="0" borderId="22" xfId="0" applyFont="1" applyFill="1" applyBorder="1" applyAlignment="1" applyProtection="1">
      <alignment horizontal="center"/>
    </xf>
    <xf numFmtId="0" fontId="12" fillId="0" borderId="34" xfId="0" applyFont="1" applyFill="1" applyBorder="1" applyAlignment="1" applyProtection="1">
      <alignment horizontal="center" vertical="center"/>
    </xf>
    <xf numFmtId="0" fontId="12" fillId="0" borderId="35" xfId="0" applyFont="1" applyFill="1" applyBorder="1" applyAlignment="1" applyProtection="1">
      <alignment horizontal="center" vertical="center"/>
    </xf>
    <xf numFmtId="0" fontId="12" fillId="0" borderId="36" xfId="0" applyFont="1" applyFill="1" applyBorder="1" applyAlignment="1" applyProtection="1">
      <alignment horizontal="center" vertical="center"/>
    </xf>
    <xf numFmtId="0" fontId="13" fillId="0" borderId="55" xfId="0" applyFont="1" applyFill="1" applyBorder="1" applyAlignment="1" applyProtection="1">
      <alignment horizontal="center" vertical="center"/>
    </xf>
    <xf numFmtId="0" fontId="13" fillId="0" borderId="66" xfId="0" applyFont="1" applyFill="1" applyBorder="1" applyAlignment="1" applyProtection="1">
      <alignment horizontal="center" vertical="center"/>
    </xf>
    <xf numFmtId="0" fontId="3" fillId="0" borderId="1" xfId="0" applyFont="1" applyFill="1" applyBorder="1" applyAlignment="1" applyProtection="1">
      <alignment horizontal="left" vertical="center"/>
    </xf>
    <xf numFmtId="0" fontId="3" fillId="0" borderId="1" xfId="0" applyFont="1" applyFill="1" applyBorder="1" applyAlignment="1" applyProtection="1">
      <alignment horizontal="center" vertical="center"/>
    </xf>
    <xf numFmtId="0" fontId="3" fillId="0" borderId="10" xfId="0" applyFont="1" applyFill="1" applyBorder="1" applyAlignment="1" applyProtection="1">
      <alignment horizontal="center" vertical="center"/>
    </xf>
    <xf numFmtId="0" fontId="3" fillId="0" borderId="55" xfId="0" applyFont="1" applyFill="1" applyBorder="1" applyAlignment="1" applyProtection="1">
      <alignment horizontal="right" vertical="center"/>
    </xf>
    <xf numFmtId="0" fontId="3" fillId="0" borderId="0" xfId="0" applyFont="1" applyFill="1" applyAlignment="1" applyProtection="1">
      <alignment horizontal="right" vertical="center"/>
    </xf>
    <xf numFmtId="0" fontId="3" fillId="0" borderId="0" xfId="0" applyFont="1" applyFill="1" applyAlignment="1" applyProtection="1">
      <alignment horizontal="left" vertical="center"/>
    </xf>
    <xf numFmtId="0" fontId="3" fillId="0" borderId="58" xfId="0" applyFont="1" applyFill="1" applyBorder="1" applyAlignment="1" applyProtection="1">
      <alignment horizontal="left" vertical="center"/>
    </xf>
    <xf numFmtId="0" fontId="3" fillId="0" borderId="59" xfId="0" applyFont="1" applyFill="1" applyBorder="1" applyAlignment="1" applyProtection="1">
      <alignment horizontal="left" vertical="center"/>
    </xf>
    <xf numFmtId="0" fontId="36" fillId="0" borderId="46" xfId="0" applyFont="1" applyFill="1" applyBorder="1" applyAlignment="1" applyProtection="1">
      <alignment horizontal="center" vertical="center"/>
    </xf>
    <xf numFmtId="0" fontId="36" fillId="0" borderId="6" xfId="0" applyFont="1" applyFill="1" applyBorder="1" applyAlignment="1" applyProtection="1">
      <alignment horizontal="center" vertical="center"/>
    </xf>
    <xf numFmtId="0" fontId="34" fillId="0" borderId="34" xfId="0" applyFont="1" applyFill="1" applyBorder="1" applyAlignment="1" applyProtection="1">
      <alignment horizontal="center" vertical="center"/>
    </xf>
    <xf numFmtId="0" fontId="34" fillId="0" borderId="35" xfId="0" applyFont="1" applyFill="1" applyBorder="1" applyAlignment="1" applyProtection="1">
      <alignment horizontal="center" vertical="center"/>
    </xf>
    <xf numFmtId="0" fontId="34" fillId="0" borderId="36" xfId="0" applyFont="1" applyFill="1" applyBorder="1" applyAlignment="1" applyProtection="1">
      <alignment horizontal="center" vertical="center"/>
    </xf>
    <xf numFmtId="0" fontId="35" fillId="0" borderId="0" xfId="0" applyFont="1" applyFill="1" applyAlignment="1" applyProtection="1">
      <alignment horizontal="center" vertical="center"/>
    </xf>
    <xf numFmtId="0" fontId="12" fillId="0" borderId="21" xfId="0" applyFont="1" applyFill="1" applyBorder="1" applyAlignment="1" applyProtection="1">
      <alignment horizontal="center" vertical="center"/>
    </xf>
    <xf numFmtId="0" fontId="12" fillId="0" borderId="22" xfId="0" applyFont="1" applyFill="1" applyBorder="1" applyAlignment="1" applyProtection="1">
      <alignment horizontal="center" vertical="center"/>
    </xf>
    <xf numFmtId="0" fontId="12" fillId="0" borderId="23" xfId="0" applyFont="1" applyFill="1" applyBorder="1" applyAlignment="1" applyProtection="1">
      <alignment horizontal="center" vertical="center"/>
    </xf>
    <xf numFmtId="0" fontId="3" fillId="0" borderId="63" xfId="0" applyFont="1" applyFill="1" applyBorder="1" applyAlignment="1" applyProtection="1">
      <alignment horizontal="center" vertical="center"/>
    </xf>
    <xf numFmtId="0" fontId="36" fillId="0" borderId="17" xfId="0" applyFont="1" applyFill="1" applyBorder="1" applyAlignment="1" applyProtection="1">
      <alignment horizontal="center" vertical="center"/>
    </xf>
    <xf numFmtId="0" fontId="36" fillId="0" borderId="20" xfId="0" applyFont="1" applyFill="1" applyBorder="1" applyAlignment="1" applyProtection="1">
      <alignment horizontal="center" vertical="center"/>
    </xf>
    <xf numFmtId="0" fontId="36" fillId="0" borderId="55" xfId="0" applyFont="1" applyFill="1" applyBorder="1" applyAlignment="1" applyProtection="1">
      <alignment horizontal="center" vertical="center" wrapText="1"/>
    </xf>
    <xf numFmtId="0" fontId="36" fillId="0" borderId="0" xfId="0" applyFont="1" applyFill="1" applyAlignment="1" applyProtection="1">
      <alignment horizontal="center" vertical="center" wrapText="1"/>
    </xf>
    <xf numFmtId="0" fontId="36" fillId="0" borderId="66" xfId="0" applyFont="1" applyFill="1" applyBorder="1" applyAlignment="1" applyProtection="1">
      <alignment horizontal="center" vertical="center" wrapText="1"/>
    </xf>
    <xf numFmtId="0" fontId="36" fillId="0" borderId="45" xfId="0" applyFont="1" applyFill="1" applyBorder="1" applyAlignment="1" applyProtection="1">
      <alignment horizontal="center" vertical="center" wrapText="1"/>
    </xf>
    <xf numFmtId="0" fontId="36" fillId="0" borderId="29" xfId="0" applyFont="1" applyFill="1" applyBorder="1" applyAlignment="1" applyProtection="1">
      <alignment horizontal="center" vertical="center" wrapText="1"/>
    </xf>
    <xf numFmtId="0" fontId="36" fillId="0" borderId="28" xfId="0" applyFont="1" applyFill="1" applyBorder="1" applyAlignment="1" applyProtection="1">
      <alignment horizontal="center" vertical="center" wrapText="1"/>
    </xf>
    <xf numFmtId="0" fontId="36" fillId="0" borderId="20" xfId="0" applyFont="1" applyFill="1" applyBorder="1" applyAlignment="1" applyProtection="1">
      <alignment horizontal="center" vertical="center" wrapText="1"/>
    </xf>
    <xf numFmtId="0" fontId="36" fillId="0" borderId="1" xfId="0" applyFont="1" applyFill="1" applyBorder="1" applyAlignment="1" applyProtection="1">
      <alignment horizontal="center" vertical="center"/>
    </xf>
    <xf numFmtId="0" fontId="36" fillId="0" borderId="18" xfId="0" applyFont="1" applyFill="1" applyBorder="1" applyAlignment="1" applyProtection="1">
      <alignment horizontal="center" vertical="center" wrapText="1"/>
    </xf>
    <xf numFmtId="0" fontId="36" fillId="0" borderId="1" xfId="0" applyFont="1" applyFill="1" applyBorder="1" applyAlignment="1" applyProtection="1">
      <alignment horizontal="center" vertical="center" wrapText="1"/>
    </xf>
    <xf numFmtId="0" fontId="36" fillId="0" borderId="10" xfId="0" applyFont="1" applyFill="1" applyBorder="1" applyAlignment="1" applyProtection="1">
      <alignment horizontal="center" vertical="center" wrapText="1"/>
    </xf>
    <xf numFmtId="0" fontId="36" fillId="0" borderId="9" xfId="0" applyFont="1" applyFill="1" applyBorder="1" applyAlignment="1" applyProtection="1">
      <alignment horizontal="center" vertical="center"/>
    </xf>
    <xf numFmtId="0" fontId="36" fillId="0" borderId="11" xfId="0" applyFont="1" applyFill="1" applyBorder="1" applyAlignment="1" applyProtection="1">
      <alignment horizontal="center" vertical="center"/>
    </xf>
    <xf numFmtId="0" fontId="36" fillId="0" borderId="14" xfId="0" applyFont="1" applyFill="1" applyBorder="1" applyAlignment="1" applyProtection="1">
      <alignment horizontal="center" vertical="center"/>
    </xf>
    <xf numFmtId="0" fontId="13" fillId="0" borderId="61" xfId="0" applyFont="1" applyFill="1" applyBorder="1" applyAlignment="1" applyProtection="1">
      <alignment horizontal="center" vertical="center"/>
    </xf>
    <xf numFmtId="0" fontId="13" fillId="0" borderId="27" xfId="0" applyFont="1" applyFill="1" applyBorder="1" applyAlignment="1" applyProtection="1">
      <alignment horizontal="center" vertical="center"/>
    </xf>
    <xf numFmtId="0" fontId="36" fillId="0" borderId="9" xfId="0" applyFont="1" applyFill="1" applyBorder="1" applyAlignment="1" applyProtection="1">
      <alignment horizontal="left" vertical="center"/>
    </xf>
    <xf numFmtId="0" fontId="36" fillId="0" borderId="1" xfId="0" applyFont="1" applyFill="1" applyBorder="1" applyAlignment="1" applyProtection="1">
      <alignment horizontal="left" vertical="center"/>
    </xf>
    <xf numFmtId="0" fontId="36" fillId="0" borderId="3" xfId="0" applyFont="1" applyFill="1" applyBorder="1" applyAlignment="1" applyProtection="1">
      <alignment horizontal="left" vertical="center"/>
    </xf>
    <xf numFmtId="0" fontId="36" fillId="0" borderId="7" xfId="0" applyFont="1" applyFill="1" applyBorder="1" applyAlignment="1" applyProtection="1">
      <alignment horizontal="center" vertical="center"/>
    </xf>
    <xf numFmtId="0" fontId="36" fillId="0" borderId="13" xfId="0" applyFont="1" applyFill="1" applyBorder="1" applyAlignment="1" applyProtection="1">
      <alignment horizontal="center" vertical="center"/>
    </xf>
    <xf numFmtId="0" fontId="36" fillId="0" borderId="8" xfId="0" applyFont="1" applyFill="1" applyBorder="1" applyAlignment="1" applyProtection="1">
      <alignment horizontal="center" vertical="center"/>
    </xf>
    <xf numFmtId="0" fontId="36" fillId="0" borderId="38" xfId="0" applyFont="1" applyFill="1" applyBorder="1" applyAlignment="1" applyProtection="1">
      <alignment horizontal="center" vertical="center"/>
    </xf>
    <xf numFmtId="0" fontId="13" fillId="0" borderId="58" xfId="0" applyFont="1" applyFill="1" applyBorder="1" applyAlignment="1" applyProtection="1">
      <alignment horizontal="center" vertical="center"/>
    </xf>
    <xf numFmtId="0" fontId="12" fillId="0" borderId="37" xfId="0" applyFont="1" applyFill="1" applyBorder="1" applyAlignment="1" applyProtection="1">
      <alignment horizontal="center" vertical="center"/>
    </xf>
    <xf numFmtId="0" fontId="12" fillId="0" borderId="24" xfId="0" applyFont="1" applyFill="1" applyBorder="1" applyAlignment="1" applyProtection="1">
      <alignment horizontal="center" vertical="center"/>
    </xf>
    <xf numFmtId="0" fontId="12" fillId="0" borderId="39" xfId="0" applyFont="1" applyFill="1" applyBorder="1" applyAlignment="1" applyProtection="1">
      <alignment horizontal="center" vertical="center"/>
    </xf>
    <xf numFmtId="0" fontId="3" fillId="0" borderId="7" xfId="0" applyFont="1" applyFill="1" applyBorder="1" applyAlignment="1" applyProtection="1">
      <alignment horizontal="left" vertical="center"/>
    </xf>
    <xf numFmtId="0" fontId="3" fillId="0" borderId="13" xfId="0" applyFont="1" applyFill="1" applyBorder="1" applyAlignment="1" applyProtection="1">
      <alignment horizontal="left" vertical="center"/>
    </xf>
    <xf numFmtId="0" fontId="36" fillId="0" borderId="13" xfId="0" applyFont="1" applyFill="1" applyBorder="1" applyAlignment="1" applyProtection="1">
      <alignment horizontal="left" vertical="center"/>
    </xf>
    <xf numFmtId="0" fontId="36" fillId="0" borderId="11" xfId="0" applyFont="1" applyFill="1" applyBorder="1" applyAlignment="1" applyProtection="1">
      <alignment horizontal="left" vertical="center"/>
    </xf>
    <xf numFmtId="0" fontId="36" fillId="0" borderId="14" xfId="0" applyFont="1" applyFill="1" applyBorder="1" applyAlignment="1" applyProtection="1">
      <alignment horizontal="left" vertical="center"/>
    </xf>
    <xf numFmtId="0" fontId="36" fillId="0" borderId="60" xfId="0" applyFont="1" applyFill="1" applyBorder="1" applyAlignment="1" applyProtection="1">
      <alignment horizontal="left" vertical="center"/>
    </xf>
    <xf numFmtId="0" fontId="36" fillId="0" borderId="52" xfId="0" applyFont="1" applyFill="1" applyBorder="1" applyAlignment="1" applyProtection="1">
      <alignment horizontal="left" vertical="center"/>
    </xf>
    <xf numFmtId="0" fontId="13" fillId="0" borderId="57" xfId="0" applyFont="1" applyFill="1" applyBorder="1" applyAlignment="1" applyProtection="1">
      <alignment horizontal="center" vertical="center"/>
    </xf>
    <xf numFmtId="0" fontId="13" fillId="0" borderId="60" xfId="0" applyFont="1" applyFill="1" applyBorder="1" applyAlignment="1" applyProtection="1">
      <alignment horizontal="center" vertical="center"/>
    </xf>
    <xf numFmtId="0" fontId="3" fillId="0" borderId="14" xfId="0" applyFont="1" applyFill="1" applyBorder="1" applyAlignment="1" applyProtection="1">
      <alignment horizontal="left" vertical="center"/>
    </xf>
    <xf numFmtId="0" fontId="3" fillId="0" borderId="14" xfId="0" applyFont="1" applyFill="1" applyBorder="1" applyAlignment="1" applyProtection="1">
      <alignment horizontal="center" vertical="center"/>
    </xf>
    <xf numFmtId="0" fontId="3" fillId="0" borderId="12" xfId="0" applyFont="1" applyFill="1" applyBorder="1" applyAlignment="1" applyProtection="1">
      <alignment horizontal="center" vertical="center"/>
    </xf>
    <xf numFmtId="0" fontId="3" fillId="0" borderId="9" xfId="0" applyFont="1" applyFill="1" applyBorder="1" applyAlignment="1" applyProtection="1">
      <alignment horizontal="left" vertical="center"/>
    </xf>
    <xf numFmtId="0" fontId="3" fillId="0" borderId="11" xfId="0" applyFont="1" applyFill="1" applyBorder="1" applyAlignment="1" applyProtection="1">
      <alignment horizontal="left" vertical="center"/>
    </xf>
    <xf numFmtId="0" fontId="36" fillId="0" borderId="26" xfId="0" applyFont="1" applyFill="1" applyBorder="1" applyAlignment="1" applyProtection="1">
      <alignment horizontal="center" vertical="center"/>
    </xf>
    <xf numFmtId="0" fontId="36" fillId="0" borderId="5" xfId="0" applyFont="1" applyFill="1" applyBorder="1" applyAlignment="1" applyProtection="1">
      <alignment horizontal="center" vertical="center"/>
    </xf>
    <xf numFmtId="0" fontId="36" fillId="0" borderId="3" xfId="0" applyFont="1" applyFill="1" applyBorder="1" applyAlignment="1" applyProtection="1">
      <alignment horizontal="center" vertical="center"/>
    </xf>
    <xf numFmtId="0" fontId="3" fillId="0" borderId="2" xfId="0" applyFont="1" applyFill="1" applyBorder="1" applyAlignment="1" applyProtection="1">
      <alignment horizontal="left" vertical="center"/>
    </xf>
    <xf numFmtId="0" fontId="3" fillId="0" borderId="5" xfId="0" applyFont="1" applyFill="1" applyBorder="1" applyAlignment="1" applyProtection="1">
      <alignment horizontal="left" vertical="center"/>
    </xf>
    <xf numFmtId="0" fontId="3" fillId="0" borderId="42" xfId="0" applyFont="1" applyFill="1" applyBorder="1" applyAlignment="1" applyProtection="1">
      <alignment horizontal="left" vertical="center"/>
    </xf>
    <xf numFmtId="0" fontId="36" fillId="0" borderId="30" xfId="0" applyFont="1" applyFill="1" applyBorder="1" applyAlignment="1" applyProtection="1">
      <alignment horizontal="center" vertical="center"/>
    </xf>
    <xf numFmtId="0" fontId="3" fillId="0" borderId="40" xfId="0" applyFont="1" applyFill="1" applyBorder="1" applyAlignment="1" applyProtection="1">
      <alignment horizontal="left" vertical="center"/>
    </xf>
    <xf numFmtId="0" fontId="3" fillId="0" borderId="38" xfId="0" applyFont="1" applyFill="1" applyBorder="1" applyAlignment="1" applyProtection="1">
      <alignment horizontal="left" vertical="center"/>
    </xf>
    <xf numFmtId="0" fontId="3" fillId="0" borderId="8" xfId="0" applyFont="1" applyFill="1" applyBorder="1" applyAlignment="1" applyProtection="1">
      <alignment horizontal="left" vertical="center"/>
    </xf>
    <xf numFmtId="0" fontId="13" fillId="0" borderId="35" xfId="0" applyFont="1" applyFill="1" applyBorder="1" applyAlignment="1" applyProtection="1">
      <alignment horizontal="center" vertical="center"/>
    </xf>
    <xf numFmtId="0" fontId="36" fillId="0" borderId="32" xfId="0" applyFont="1" applyFill="1" applyBorder="1" applyAlignment="1" applyProtection="1">
      <alignment horizontal="center" vertical="center"/>
    </xf>
    <xf numFmtId="0" fontId="36" fillId="0" borderId="16" xfId="0" applyFont="1" applyFill="1" applyBorder="1" applyAlignment="1" applyProtection="1">
      <alignment horizontal="center" vertical="center"/>
    </xf>
    <xf numFmtId="0" fontId="36" fillId="0" borderId="33" xfId="0" applyFont="1" applyFill="1" applyBorder="1" applyAlignment="1" applyProtection="1">
      <alignment horizontal="center" vertical="center"/>
    </xf>
    <xf numFmtId="0" fontId="36" fillId="0" borderId="31" xfId="0" applyFont="1" applyFill="1" applyBorder="1" applyAlignment="1" applyProtection="1">
      <alignment horizontal="center" vertical="center"/>
    </xf>
    <xf numFmtId="0" fontId="3" fillId="0" borderId="3" xfId="0" applyFont="1" applyFill="1" applyBorder="1" applyAlignment="1" applyProtection="1">
      <alignment horizontal="left" vertical="center"/>
    </xf>
    <xf numFmtId="0" fontId="36" fillId="0" borderId="2" xfId="0" applyFont="1" applyFill="1" applyBorder="1" applyAlignment="1" applyProtection="1">
      <alignment horizontal="center" vertical="center"/>
    </xf>
    <xf numFmtId="0" fontId="36" fillId="0" borderId="24" xfId="0" applyFont="1" applyFill="1" applyBorder="1" applyAlignment="1" applyProtection="1">
      <alignment horizontal="center" vertical="center"/>
    </xf>
    <xf numFmtId="0" fontId="36" fillId="0" borderId="49" xfId="0" applyFont="1" applyFill="1" applyBorder="1" applyAlignment="1" applyProtection="1">
      <alignment horizontal="center" vertical="center"/>
    </xf>
    <xf numFmtId="0" fontId="36" fillId="0" borderId="80" xfId="0" applyFont="1" applyFill="1" applyBorder="1" applyAlignment="1" applyProtection="1">
      <alignment horizontal="center" vertical="center"/>
    </xf>
    <xf numFmtId="0" fontId="36" fillId="0" borderId="79" xfId="0" applyFont="1" applyFill="1" applyBorder="1" applyAlignment="1" applyProtection="1">
      <alignment horizontal="center"/>
    </xf>
    <xf numFmtId="0" fontId="36" fillId="0" borderId="80" xfId="0" applyFont="1" applyFill="1" applyBorder="1" applyAlignment="1" applyProtection="1">
      <alignment horizontal="center"/>
    </xf>
    <xf numFmtId="0" fontId="36" fillId="0" borderId="79" xfId="0" applyFont="1" applyFill="1" applyBorder="1" applyAlignment="1" applyProtection="1">
      <alignment horizontal="center" vertical="center"/>
    </xf>
    <xf numFmtId="0" fontId="3" fillId="0" borderId="31" xfId="0" applyFont="1" applyFill="1" applyBorder="1" applyAlignment="1" applyProtection="1">
      <alignment horizontal="left" vertical="center"/>
    </xf>
    <xf numFmtId="0" fontId="3" fillId="0" borderId="40" xfId="0" applyFont="1" applyFill="1" applyBorder="1" applyAlignment="1" applyProtection="1">
      <alignment horizontal="right" vertical="center"/>
    </xf>
    <xf numFmtId="0" fontId="3" fillId="0" borderId="31" xfId="0" applyFont="1" applyFill="1" applyBorder="1" applyAlignment="1" applyProtection="1">
      <alignment horizontal="right" vertical="center"/>
    </xf>
    <xf numFmtId="0" fontId="3" fillId="0" borderId="31" xfId="0" quotePrefix="1" applyFont="1" applyFill="1" applyBorder="1" applyAlignment="1" applyProtection="1">
      <alignment horizontal="left" vertical="center"/>
    </xf>
    <xf numFmtId="0" fontId="3" fillId="0" borderId="15" xfId="0" applyFont="1" applyFill="1" applyBorder="1" applyAlignment="1" applyProtection="1">
      <alignment horizontal="left" vertical="center"/>
    </xf>
    <xf numFmtId="0" fontId="3" fillId="0" borderId="16" xfId="0" applyFont="1" applyFill="1" applyBorder="1" applyAlignment="1" applyProtection="1">
      <alignment horizontal="left" vertical="center"/>
    </xf>
    <xf numFmtId="0" fontId="3" fillId="0" borderId="41" xfId="0" applyFont="1" applyFill="1" applyBorder="1" applyAlignment="1" applyProtection="1">
      <alignment horizontal="left" vertical="center"/>
    </xf>
    <xf numFmtId="0" fontId="3" fillId="0" borderId="33" xfId="0" applyFont="1" applyFill="1" applyBorder="1" applyAlignment="1" applyProtection="1">
      <alignment horizontal="left" vertical="center"/>
    </xf>
    <xf numFmtId="0" fontId="36" fillId="0" borderId="15" xfId="0" applyFont="1" applyFill="1" applyBorder="1" applyAlignment="1" applyProtection="1">
      <alignment horizontal="center" vertical="center"/>
    </xf>
    <xf numFmtId="0" fontId="10" fillId="10" borderId="72" xfId="3" applyFont="1" applyBorder="1" applyAlignment="1">
      <alignment horizontal="center" vertical="center"/>
    </xf>
    <xf numFmtId="0" fontId="10" fillId="10" borderId="63" xfId="3" applyFont="1" applyBorder="1" applyAlignment="1">
      <alignment horizontal="center" vertical="center"/>
    </xf>
    <xf numFmtId="0" fontId="10" fillId="10" borderId="71" xfId="3" applyFont="1" applyBorder="1" applyAlignment="1">
      <alignment horizontal="center" vertical="center"/>
    </xf>
    <xf numFmtId="0" fontId="10" fillId="9" borderId="7" xfId="2" applyFont="1" applyBorder="1" applyAlignment="1">
      <alignment horizontal="center" vertical="center"/>
    </xf>
    <xf numFmtId="0" fontId="10" fillId="9" borderId="9" xfId="2" applyFont="1" applyBorder="1" applyAlignment="1">
      <alignment horizontal="center" vertical="center"/>
    </xf>
    <xf numFmtId="0" fontId="10" fillId="9" borderId="11" xfId="2" applyFont="1" applyBorder="1" applyAlignment="1">
      <alignment horizontal="center" vertical="center"/>
    </xf>
    <xf numFmtId="0" fontId="1" fillId="11" borderId="54" xfId="4" applyFont="1" applyBorder="1" applyAlignment="1">
      <alignment horizontal="center" vertical="center"/>
    </xf>
    <xf numFmtId="0" fontId="1" fillId="11" borderId="49" xfId="4" applyFont="1" applyBorder="1" applyAlignment="1">
      <alignment horizontal="center" vertical="center"/>
    </xf>
    <xf numFmtId="0" fontId="1" fillId="11" borderId="50" xfId="4" applyFont="1" applyBorder="1" applyAlignment="1">
      <alignment horizontal="center" vertical="center"/>
    </xf>
    <xf numFmtId="0" fontId="10" fillId="8" borderId="17" xfId="1" applyFont="1" applyBorder="1" applyAlignment="1">
      <alignment horizontal="center" vertical="center"/>
    </xf>
    <xf numFmtId="0" fontId="10" fillId="8" borderId="9" xfId="1" applyFont="1" applyBorder="1" applyAlignment="1">
      <alignment horizontal="center" vertical="center"/>
    </xf>
    <xf numFmtId="0" fontId="10" fillId="8" borderId="46" xfId="1" applyFont="1" applyBorder="1" applyAlignment="1">
      <alignment horizontal="center" vertical="center"/>
    </xf>
    <xf numFmtId="0" fontId="1" fillId="12" borderId="38" xfId="5" applyBorder="1" applyAlignment="1">
      <alignment horizontal="center" vertical="center"/>
    </xf>
    <xf numFmtId="0" fontId="1" fillId="12" borderId="13" xfId="5" applyBorder="1" applyAlignment="1">
      <alignment horizontal="center" vertical="center"/>
    </xf>
    <xf numFmtId="0" fontId="1" fillId="12" borderId="8" xfId="5" applyBorder="1" applyAlignment="1">
      <alignment horizontal="center" vertical="center"/>
    </xf>
    <xf numFmtId="0" fontId="10" fillId="9" borderId="17" xfId="2" applyFont="1" applyBorder="1" applyAlignment="1">
      <alignment horizontal="center" vertical="center"/>
    </xf>
    <xf numFmtId="0" fontId="10" fillId="8" borderId="11" xfId="1" applyFont="1" applyBorder="1" applyAlignment="1">
      <alignment horizontal="center" vertical="center"/>
    </xf>
    <xf numFmtId="0" fontId="10" fillId="10" borderId="17" xfId="3" applyFont="1" applyBorder="1" applyAlignment="1">
      <alignment horizontal="center" vertical="center"/>
    </xf>
    <xf numFmtId="0" fontId="10" fillId="10" borderId="9" xfId="3" applyFont="1" applyBorder="1" applyAlignment="1">
      <alignment horizontal="center" vertical="center"/>
    </xf>
    <xf numFmtId="0" fontId="10" fillId="10" borderId="46" xfId="3" applyFont="1" applyBorder="1" applyAlignment="1">
      <alignment horizontal="center" vertical="center"/>
    </xf>
    <xf numFmtId="0" fontId="1" fillId="11" borderId="38" xfId="4" applyFont="1" applyBorder="1" applyAlignment="1">
      <alignment horizontal="center" vertical="center"/>
    </xf>
    <xf numFmtId="0" fontId="1" fillId="11" borderId="13" xfId="4" applyFont="1" applyBorder="1" applyAlignment="1">
      <alignment horizontal="center" vertical="center"/>
    </xf>
    <xf numFmtId="0" fontId="1" fillId="11" borderId="8" xfId="4" applyFont="1" applyBorder="1" applyAlignment="1">
      <alignment horizontal="center" vertical="center"/>
    </xf>
    <xf numFmtId="0" fontId="1" fillId="12" borderId="54" xfId="5" applyBorder="1" applyAlignment="1">
      <alignment horizontal="center" vertical="center"/>
    </xf>
    <xf numFmtId="0" fontId="1" fillId="12" borderId="49" xfId="5" applyBorder="1" applyAlignment="1">
      <alignment horizontal="center" vertical="center"/>
    </xf>
    <xf numFmtId="0" fontId="1" fillId="12" borderId="50" xfId="5" applyBorder="1" applyAlignment="1">
      <alignment horizontal="center" vertical="center"/>
    </xf>
    <xf numFmtId="0" fontId="10" fillId="10" borderId="65" xfId="3" applyFont="1" applyBorder="1" applyAlignment="1">
      <alignment horizontal="center" vertical="center"/>
    </xf>
    <xf numFmtId="0" fontId="10" fillId="10" borderId="51" xfId="3" applyFont="1" applyBorder="1" applyAlignment="1">
      <alignment horizontal="center" vertical="center"/>
    </xf>
    <xf numFmtId="0" fontId="10" fillId="8" borderId="17" xfId="1" applyFont="1" applyBorder="1" applyAlignment="1">
      <alignment horizontal="center" vertical="center" wrapText="1"/>
    </xf>
    <xf numFmtId="0" fontId="10" fillId="8" borderId="9" xfId="1" applyFont="1" applyBorder="1" applyAlignment="1">
      <alignment horizontal="center" vertical="center" wrapText="1"/>
    </xf>
    <xf numFmtId="0" fontId="10" fillId="8" borderId="11" xfId="1" applyFont="1" applyBorder="1" applyAlignment="1">
      <alignment horizontal="center" vertical="center" wrapText="1"/>
    </xf>
    <xf numFmtId="0" fontId="10" fillId="10" borderId="17" xfId="3" applyFont="1" applyBorder="1" applyAlignment="1">
      <alignment horizontal="center" vertical="center" wrapText="1"/>
    </xf>
    <xf numFmtId="0" fontId="10" fillId="10" borderId="9" xfId="3" applyFont="1" applyBorder="1" applyAlignment="1">
      <alignment horizontal="center" vertical="center" wrapText="1"/>
    </xf>
    <xf numFmtId="0" fontId="10" fillId="10" borderId="11" xfId="3" applyFont="1" applyBorder="1" applyAlignment="1">
      <alignment horizontal="center" vertical="center" wrapText="1"/>
    </xf>
    <xf numFmtId="0" fontId="10" fillId="10" borderId="11" xfId="3" applyFont="1" applyBorder="1" applyAlignment="1">
      <alignment horizontal="center" vertical="center"/>
    </xf>
    <xf numFmtId="0" fontId="10" fillId="9" borderId="65" xfId="2" applyFont="1" applyBorder="1" applyAlignment="1">
      <alignment horizontal="center" vertical="center"/>
    </xf>
    <xf numFmtId="0" fontId="10" fillId="9" borderId="51" xfId="2" applyFont="1" applyBorder="1" applyAlignment="1">
      <alignment horizontal="center" vertical="center"/>
    </xf>
    <xf numFmtId="0" fontId="10" fillId="8" borderId="65" xfId="1" applyFont="1" applyBorder="1" applyAlignment="1">
      <alignment horizontal="center" vertical="center"/>
    </xf>
    <xf numFmtId="0" fontId="10" fillId="8" borderId="51" xfId="1" applyFont="1" applyBorder="1" applyAlignment="1">
      <alignment horizontal="center" vertical="center"/>
    </xf>
    <xf numFmtId="0" fontId="10" fillId="9" borderId="63" xfId="2" applyFont="1" applyBorder="1" applyAlignment="1">
      <alignment horizontal="center" vertical="center"/>
    </xf>
    <xf numFmtId="0" fontId="10" fillId="9" borderId="71" xfId="2" applyFont="1" applyBorder="1" applyAlignment="1">
      <alignment horizontal="center" vertical="center"/>
    </xf>
    <xf numFmtId="0" fontId="10" fillId="8" borderId="72" xfId="1" applyFont="1" applyBorder="1" applyAlignment="1">
      <alignment horizontal="center" vertical="center"/>
    </xf>
    <xf numFmtId="0" fontId="10" fillId="8" borderId="63" xfId="1" applyFont="1" applyBorder="1" applyAlignment="1">
      <alignment horizontal="center" vertical="center"/>
    </xf>
    <xf numFmtId="0" fontId="10" fillId="8" borderId="71" xfId="1" applyFont="1" applyBorder="1" applyAlignment="1">
      <alignment horizontal="center" vertical="center"/>
    </xf>
    <xf numFmtId="0" fontId="10" fillId="9" borderId="75" xfId="2" applyFont="1" applyBorder="1" applyAlignment="1">
      <alignment horizontal="center" vertical="center"/>
    </xf>
    <xf numFmtId="0" fontId="10" fillId="9" borderId="76" xfId="2" applyFont="1" applyBorder="1" applyAlignment="1">
      <alignment horizontal="center" vertical="center"/>
    </xf>
    <xf numFmtId="0" fontId="10" fillId="9" borderId="77" xfId="2" applyFont="1" applyBorder="1" applyAlignment="1">
      <alignment horizontal="center" vertical="center"/>
    </xf>
    <xf numFmtId="0" fontId="5" fillId="0" borderId="1" xfId="0" applyFont="1" applyBorder="1" applyAlignment="1">
      <alignment horizontal="left"/>
    </xf>
    <xf numFmtId="0" fontId="10" fillId="6" borderId="1" xfId="0" applyFont="1" applyFill="1" applyBorder="1" applyAlignment="1">
      <alignment horizontal="center"/>
    </xf>
    <xf numFmtId="0" fontId="10" fillId="9" borderId="72" xfId="2" applyFont="1" applyBorder="1" applyAlignment="1">
      <alignment horizontal="center" vertical="center"/>
    </xf>
    <xf numFmtId="0" fontId="5" fillId="0" borderId="1" xfId="0" quotePrefix="1" applyFont="1" applyBorder="1" applyAlignment="1">
      <alignment horizontal="left"/>
    </xf>
    <xf numFmtId="0" fontId="10" fillId="6" borderId="34" xfId="0" applyFont="1" applyFill="1" applyBorder="1" applyAlignment="1">
      <alignment horizontal="center"/>
    </xf>
    <xf numFmtId="0" fontId="10" fillId="6" borderId="53" xfId="0" applyFont="1" applyFill="1" applyBorder="1" applyAlignment="1">
      <alignment horizontal="center"/>
    </xf>
    <xf numFmtId="0" fontId="5" fillId="3" borderId="52" xfId="0" applyFont="1" applyFill="1" applyBorder="1" applyAlignment="1">
      <alignment horizontal="center"/>
    </xf>
    <xf numFmtId="0" fontId="5" fillId="0" borderId="2" xfId="0" applyFont="1" applyBorder="1" applyAlignment="1">
      <alignment horizontal="center"/>
    </xf>
    <xf numFmtId="0" fontId="5" fillId="0" borderId="3" xfId="0" applyFont="1" applyBorder="1" applyAlignment="1">
      <alignment horizontal="center"/>
    </xf>
    <xf numFmtId="0" fontId="5" fillId="0" borderId="15" xfId="0" applyFont="1" applyBorder="1" applyAlignment="1">
      <alignment horizontal="center"/>
    </xf>
    <xf numFmtId="0" fontId="5" fillId="0" borderId="33" xfId="0" applyFont="1" applyBorder="1" applyAlignment="1">
      <alignment horizontal="center"/>
    </xf>
    <xf numFmtId="0" fontId="10" fillId="3" borderId="1" xfId="0" applyFont="1" applyFill="1" applyBorder="1" applyAlignment="1">
      <alignment horizontal="center" wrapText="1"/>
    </xf>
    <xf numFmtId="0" fontId="10" fillId="6" borderId="4" xfId="0" applyFont="1" applyFill="1" applyBorder="1" applyAlignment="1" applyProtection="1">
      <alignment horizontal="center"/>
      <protection locked="0"/>
    </xf>
    <xf numFmtId="0" fontId="10" fillId="6" borderId="0" xfId="0" applyFont="1" applyFill="1" applyAlignment="1" applyProtection="1">
      <alignment horizontal="center"/>
      <protection locked="0"/>
    </xf>
    <xf numFmtId="0" fontId="33" fillId="2" borderId="0" xfId="0" applyFont="1" applyFill="1" applyAlignment="1" applyProtection="1">
      <alignment horizontal="center"/>
      <protection locked="0"/>
    </xf>
    <xf numFmtId="0" fontId="10" fillId="6" borderId="54" xfId="0" applyFont="1" applyFill="1" applyBorder="1" applyAlignment="1">
      <alignment horizontal="center"/>
    </xf>
    <xf numFmtId="0" fontId="10" fillId="6" borderId="29" xfId="0" applyFont="1" applyFill="1" applyBorder="1" applyAlignment="1" applyProtection="1">
      <alignment horizontal="center"/>
      <protection locked="0"/>
    </xf>
  </cellXfs>
  <cellStyles count="12">
    <cellStyle name="Accent1" xfId="6" builtinId="29"/>
    <cellStyle name="Accent2" xfId="7" builtinId="33"/>
    <cellStyle name="Accent4" xfId="8" builtinId="41"/>
    <cellStyle name="Accent5" xfId="9" builtinId="45"/>
    <cellStyle name="Accent6" xfId="10" builtinId="49"/>
    <cellStyle name="Bad" xfId="2" builtinId="27"/>
    <cellStyle name="Calculation" xfId="4" builtinId="22"/>
    <cellStyle name="Check Cell" xfId="5" builtinId="23"/>
    <cellStyle name="Good" xfId="1" builtinId="26"/>
    <cellStyle name="Hyperlink" xfId="11" builtinId="8"/>
    <cellStyle name="Neutral" xfId="3" builtinId="28"/>
    <cellStyle name="Normal" xfId="0" builtinId="0"/>
  </cellStyles>
  <dxfs count="0"/>
  <tableStyles count="0" defaultTableStyle="TableStyleMedium2" defaultPivotStyle="PivotStyleLight16"/>
  <colors>
    <mruColors>
      <color rgb="FF0594FF"/>
      <color rgb="FF008AF2"/>
      <color rgb="FF0077D0"/>
      <color rgb="FF542708"/>
      <color rgb="FF4D4D4D"/>
      <color rgb="FF5F5F5F"/>
      <color rgb="FFFFFF99"/>
      <color rgb="FF53A739"/>
      <color rgb="FF388D1D"/>
      <color rgb="FF3615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ctrlProps/ctrlProp1.xml><?xml version="1.0" encoding="utf-8"?>
<formControlPr xmlns="http://schemas.microsoft.com/office/spreadsheetml/2009/9/main" objectType="CheckBox" checked="Checked" fmlaLink="Combat!$V$5"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Radio" lockText="1" noThreeD="1"/>
</file>

<file path=xl/ctrlProps/ctrlProp101.xml><?xml version="1.0" encoding="utf-8"?>
<formControlPr xmlns="http://schemas.microsoft.com/office/spreadsheetml/2009/9/main" objectType="Radio" lockText="1" noThreeD="1"/>
</file>

<file path=xl/ctrlProps/ctrlProp102.xml><?xml version="1.0" encoding="utf-8"?>
<formControlPr xmlns="http://schemas.microsoft.com/office/spreadsheetml/2009/9/main" objectType="GBox" noThreeD="1"/>
</file>

<file path=xl/ctrlProps/ctrlProp103.xml><?xml version="1.0" encoding="utf-8"?>
<formControlPr xmlns="http://schemas.microsoft.com/office/spreadsheetml/2009/9/main" objectType="Radio" checked="Checked" lockText="1" noThreeD="1"/>
</file>

<file path=xl/ctrlProps/ctrlProp104.xml><?xml version="1.0" encoding="utf-8"?>
<formControlPr xmlns="http://schemas.microsoft.com/office/spreadsheetml/2009/9/main" objectType="Radio" lockText="1" noThreeD="1"/>
</file>

<file path=xl/ctrlProps/ctrlProp105.xml><?xml version="1.0" encoding="utf-8"?>
<formControlPr xmlns="http://schemas.microsoft.com/office/spreadsheetml/2009/9/main" objectType="Radio" lockText="1" noThreeD="1"/>
</file>

<file path=xl/ctrlProps/ctrlProp106.xml><?xml version="1.0" encoding="utf-8"?>
<formControlPr xmlns="http://schemas.microsoft.com/office/spreadsheetml/2009/9/main" objectType="Radio" lockText="1" noThreeD="1"/>
</file>

<file path=xl/ctrlProps/ctrlProp107.xml><?xml version="1.0" encoding="utf-8"?>
<formControlPr xmlns="http://schemas.microsoft.com/office/spreadsheetml/2009/9/main" objectType="Radio" lockText="1" noThreeD="1"/>
</file>

<file path=xl/ctrlProps/ctrlProp108.xml><?xml version="1.0" encoding="utf-8"?>
<formControlPr xmlns="http://schemas.microsoft.com/office/spreadsheetml/2009/9/main" objectType="Radio" lockText="1" noThreeD="1"/>
</file>

<file path=xl/ctrlProps/ctrlProp109.xml><?xml version="1.0" encoding="utf-8"?>
<formControlPr xmlns="http://schemas.microsoft.com/office/spreadsheetml/2009/9/main" objectType="GBox"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Radio" checked="Checked" lockText="1" noThreeD="1"/>
</file>

<file path=xl/ctrlProps/ctrlProp111.xml><?xml version="1.0" encoding="utf-8"?>
<formControlPr xmlns="http://schemas.microsoft.com/office/spreadsheetml/2009/9/main" objectType="Radio" lockText="1" noThreeD="1"/>
</file>

<file path=xl/ctrlProps/ctrlProp112.xml><?xml version="1.0" encoding="utf-8"?>
<formControlPr xmlns="http://schemas.microsoft.com/office/spreadsheetml/2009/9/main" objectType="Radio" lockText="1" noThreeD="1"/>
</file>

<file path=xl/ctrlProps/ctrlProp113.xml><?xml version="1.0" encoding="utf-8"?>
<formControlPr xmlns="http://schemas.microsoft.com/office/spreadsheetml/2009/9/main" objectType="Radio" lockText="1" noThreeD="1"/>
</file>

<file path=xl/ctrlProps/ctrlProp114.xml><?xml version="1.0" encoding="utf-8"?>
<formControlPr xmlns="http://schemas.microsoft.com/office/spreadsheetml/2009/9/main" objectType="Radio" lockText="1" noThreeD="1"/>
</file>

<file path=xl/ctrlProps/ctrlProp115.xml><?xml version="1.0" encoding="utf-8"?>
<formControlPr xmlns="http://schemas.microsoft.com/office/spreadsheetml/2009/9/main" objectType="Radio" lockText="1" noThreeD="1"/>
</file>

<file path=xl/ctrlProps/ctrlProp116.xml><?xml version="1.0" encoding="utf-8"?>
<formControlPr xmlns="http://schemas.microsoft.com/office/spreadsheetml/2009/9/main" objectType="GBox" noThreeD="1"/>
</file>

<file path=xl/ctrlProps/ctrlProp117.xml><?xml version="1.0" encoding="utf-8"?>
<formControlPr xmlns="http://schemas.microsoft.com/office/spreadsheetml/2009/9/main" objectType="Radio" lockText="1" noThreeD="1"/>
</file>

<file path=xl/ctrlProps/ctrlProp118.xml><?xml version="1.0" encoding="utf-8"?>
<formControlPr xmlns="http://schemas.microsoft.com/office/spreadsheetml/2009/9/main" objectType="Radio" lockText="1" noThreeD="1"/>
</file>

<file path=xl/ctrlProps/ctrlProp119.xml><?xml version="1.0" encoding="utf-8"?>
<formControlPr xmlns="http://schemas.microsoft.com/office/spreadsheetml/2009/9/main" objectType="Radio"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Radio" lockText="1" noThreeD="1"/>
</file>

<file path=xl/ctrlProps/ctrlProp121.xml><?xml version="1.0" encoding="utf-8"?>
<formControlPr xmlns="http://schemas.microsoft.com/office/spreadsheetml/2009/9/main" objectType="Radio" lockText="1" noThreeD="1"/>
</file>

<file path=xl/ctrlProps/ctrlProp122.xml><?xml version="1.0" encoding="utf-8"?>
<formControlPr xmlns="http://schemas.microsoft.com/office/spreadsheetml/2009/9/main" objectType="Radio" lockText="1" noThreeD="1"/>
</file>

<file path=xl/ctrlProps/ctrlProp123.xml><?xml version="1.0" encoding="utf-8"?>
<formControlPr xmlns="http://schemas.microsoft.com/office/spreadsheetml/2009/9/main" objectType="GBox" noThreeD="1"/>
</file>

<file path=xl/ctrlProps/ctrlProp124.xml><?xml version="1.0" encoding="utf-8"?>
<formControlPr xmlns="http://schemas.microsoft.com/office/spreadsheetml/2009/9/main" objectType="Radio" lockText="1" noThreeD="1"/>
</file>

<file path=xl/ctrlProps/ctrlProp125.xml><?xml version="1.0" encoding="utf-8"?>
<formControlPr xmlns="http://schemas.microsoft.com/office/spreadsheetml/2009/9/main" objectType="Radio" lockText="1" noThreeD="1"/>
</file>

<file path=xl/ctrlProps/ctrlProp126.xml><?xml version="1.0" encoding="utf-8"?>
<formControlPr xmlns="http://schemas.microsoft.com/office/spreadsheetml/2009/9/main" objectType="Radio" lockText="1" noThreeD="1"/>
</file>

<file path=xl/ctrlProps/ctrlProp127.xml><?xml version="1.0" encoding="utf-8"?>
<formControlPr xmlns="http://schemas.microsoft.com/office/spreadsheetml/2009/9/main" objectType="Radio" lockText="1" noThreeD="1"/>
</file>

<file path=xl/ctrlProps/ctrlProp128.xml><?xml version="1.0" encoding="utf-8"?>
<formControlPr xmlns="http://schemas.microsoft.com/office/spreadsheetml/2009/9/main" objectType="Radio" lockText="1" noThreeD="1"/>
</file>

<file path=xl/ctrlProps/ctrlProp129.xml><?xml version="1.0" encoding="utf-8"?>
<formControlPr xmlns="http://schemas.microsoft.com/office/spreadsheetml/2009/9/main" objectType="Radio"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GBox" noThreeD="1"/>
</file>

<file path=xl/ctrlProps/ctrlProp131.xml><?xml version="1.0" encoding="utf-8"?>
<formControlPr xmlns="http://schemas.microsoft.com/office/spreadsheetml/2009/9/main" objectType="Radio" checked="Checked" lockText="1" noThreeD="1"/>
</file>

<file path=xl/ctrlProps/ctrlProp132.xml><?xml version="1.0" encoding="utf-8"?>
<formControlPr xmlns="http://schemas.microsoft.com/office/spreadsheetml/2009/9/main" objectType="Radio" lockText="1" noThreeD="1"/>
</file>

<file path=xl/ctrlProps/ctrlProp133.xml><?xml version="1.0" encoding="utf-8"?>
<formControlPr xmlns="http://schemas.microsoft.com/office/spreadsheetml/2009/9/main" objectType="Radio" lockText="1" noThreeD="1"/>
</file>

<file path=xl/ctrlProps/ctrlProp134.xml><?xml version="1.0" encoding="utf-8"?>
<formControlPr xmlns="http://schemas.microsoft.com/office/spreadsheetml/2009/9/main" objectType="Radio" lockText="1" noThreeD="1"/>
</file>

<file path=xl/ctrlProps/ctrlProp135.xml><?xml version="1.0" encoding="utf-8"?>
<formControlPr xmlns="http://schemas.microsoft.com/office/spreadsheetml/2009/9/main" objectType="Radio" lockText="1" noThreeD="1"/>
</file>

<file path=xl/ctrlProps/ctrlProp136.xml><?xml version="1.0" encoding="utf-8"?>
<formControlPr xmlns="http://schemas.microsoft.com/office/spreadsheetml/2009/9/main" objectType="Radio" lockText="1" noThreeD="1"/>
</file>

<file path=xl/ctrlProps/ctrlProp137.xml><?xml version="1.0" encoding="utf-8"?>
<formControlPr xmlns="http://schemas.microsoft.com/office/spreadsheetml/2009/9/main" objectType="GBox" noThreeD="1"/>
</file>

<file path=xl/ctrlProps/ctrlProp138.xml><?xml version="1.0" encoding="utf-8"?>
<formControlPr xmlns="http://schemas.microsoft.com/office/spreadsheetml/2009/9/main" objectType="Radio" checked="Checked" lockText="1" noThreeD="1"/>
</file>

<file path=xl/ctrlProps/ctrlProp139.xml><?xml version="1.0" encoding="utf-8"?>
<formControlPr xmlns="http://schemas.microsoft.com/office/spreadsheetml/2009/9/main" objectType="Radio"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Radio" lockText="1" noThreeD="1"/>
</file>

<file path=xl/ctrlProps/ctrlProp141.xml><?xml version="1.0" encoding="utf-8"?>
<formControlPr xmlns="http://schemas.microsoft.com/office/spreadsheetml/2009/9/main" objectType="Radio" lockText="1" noThreeD="1"/>
</file>

<file path=xl/ctrlProps/ctrlProp142.xml><?xml version="1.0" encoding="utf-8"?>
<formControlPr xmlns="http://schemas.microsoft.com/office/spreadsheetml/2009/9/main" objectType="Radio" lockText="1" noThreeD="1"/>
</file>

<file path=xl/ctrlProps/ctrlProp143.xml><?xml version="1.0" encoding="utf-8"?>
<formControlPr xmlns="http://schemas.microsoft.com/office/spreadsheetml/2009/9/main" objectType="Radio" lockText="1" noThreeD="1"/>
</file>

<file path=xl/ctrlProps/ctrlProp144.xml><?xml version="1.0" encoding="utf-8"?>
<formControlPr xmlns="http://schemas.microsoft.com/office/spreadsheetml/2009/9/main" objectType="CheckBox" checked="Checked" fmlaLink="Combat!$V$5" lockText="1" noThreeD="1"/>
</file>

<file path=xl/ctrlProps/ctrlProp145.xml><?xml version="1.0" encoding="utf-8"?>
<formControlPr xmlns="http://schemas.microsoft.com/office/spreadsheetml/2009/9/main" objectType="CheckBox" fmlaLink="Combat!$V$6" lockText="1" noThreeD="1"/>
</file>

<file path=xl/ctrlProps/ctrlProp146.xml><?xml version="1.0" encoding="utf-8"?>
<formControlPr xmlns="http://schemas.microsoft.com/office/spreadsheetml/2009/9/main" objectType="CheckBox" fmlaLink="Combat!$V$7" lockText="1" noThreeD="1"/>
</file>

<file path=xl/ctrlProps/ctrlProp147.xml><?xml version="1.0" encoding="utf-8"?>
<formControlPr xmlns="http://schemas.microsoft.com/office/spreadsheetml/2009/9/main" objectType="CheckBox" fmlaLink="Combat!$V$8" lockText="1" noThreeD="1"/>
</file>

<file path=xl/ctrlProps/ctrlProp148.xml><?xml version="1.0" encoding="utf-8"?>
<formControlPr xmlns="http://schemas.microsoft.com/office/spreadsheetml/2009/9/main" objectType="CheckBox" fmlaLink="Combat!$V$9" lockText="1" noThreeD="1"/>
</file>

<file path=xl/ctrlProps/ctrlProp149.xml><?xml version="1.0" encoding="utf-8"?>
<formControlPr xmlns="http://schemas.microsoft.com/office/spreadsheetml/2009/9/main" objectType="CheckBox" fmlaLink="Combat!$V$10"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Combat!$V$22" lockText="1" noThreeD="1"/>
</file>

<file path=xl/ctrlProps/ctrlProp162.xml><?xml version="1.0" encoding="utf-8"?>
<formControlPr xmlns="http://schemas.microsoft.com/office/spreadsheetml/2009/9/main" objectType="GBox" noThreeD="1"/>
</file>

<file path=xl/ctrlProps/ctrlProp163.xml><?xml version="1.0" encoding="utf-8"?>
<formControlPr xmlns="http://schemas.microsoft.com/office/spreadsheetml/2009/9/main" objectType="GBox" noThreeD="1"/>
</file>

<file path=xl/ctrlProps/ctrlProp164.xml><?xml version="1.0" encoding="utf-8"?>
<formControlPr xmlns="http://schemas.microsoft.com/office/spreadsheetml/2009/9/main" objectType="GBox" noThreeD="1"/>
</file>

<file path=xl/ctrlProps/ctrlProp165.xml><?xml version="1.0" encoding="utf-8"?>
<formControlPr xmlns="http://schemas.microsoft.com/office/spreadsheetml/2009/9/main" objectType="Radio" firstButton="1" fmlaLink="Combat!$U$53" lockText="1" noThreeD="1"/>
</file>

<file path=xl/ctrlProps/ctrlProp166.xml><?xml version="1.0" encoding="utf-8"?>
<formControlPr xmlns="http://schemas.microsoft.com/office/spreadsheetml/2009/9/main" objectType="Radio" lockText="1" noThreeD="1"/>
</file>

<file path=xl/ctrlProps/ctrlProp167.xml><?xml version="1.0" encoding="utf-8"?>
<formControlPr xmlns="http://schemas.microsoft.com/office/spreadsheetml/2009/9/main" objectType="Radio" checked="Checked" lockText="1" noThreeD="1"/>
</file>

<file path=xl/ctrlProps/ctrlProp168.xml><?xml version="1.0" encoding="utf-8"?>
<formControlPr xmlns="http://schemas.microsoft.com/office/spreadsheetml/2009/9/main" objectType="Radio" lockText="1" noThreeD="1"/>
</file>

<file path=xl/ctrlProps/ctrlProp169.xml><?xml version="1.0" encoding="utf-8"?>
<formControlPr xmlns="http://schemas.microsoft.com/office/spreadsheetml/2009/9/main" objectType="Radio"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Radio" firstButton="1" fmlaLink="Combat!$W$53" lockText="1" noThreeD="1"/>
</file>

<file path=xl/ctrlProps/ctrlProp171.xml><?xml version="1.0" encoding="utf-8"?>
<formControlPr xmlns="http://schemas.microsoft.com/office/spreadsheetml/2009/9/main" objectType="Radio" lockText="1" noThreeD="1"/>
</file>

<file path=xl/ctrlProps/ctrlProp172.xml><?xml version="1.0" encoding="utf-8"?>
<formControlPr xmlns="http://schemas.microsoft.com/office/spreadsheetml/2009/9/main" objectType="Radio" lockText="1" noThreeD="1"/>
</file>

<file path=xl/ctrlProps/ctrlProp173.xml><?xml version="1.0" encoding="utf-8"?>
<formControlPr xmlns="http://schemas.microsoft.com/office/spreadsheetml/2009/9/main" objectType="Radio" checked="Checked" lockText="1" noThreeD="1"/>
</file>

<file path=xl/ctrlProps/ctrlProp174.xml><?xml version="1.0" encoding="utf-8"?>
<formControlPr xmlns="http://schemas.microsoft.com/office/spreadsheetml/2009/9/main" objectType="Radio" lockText="1" noThreeD="1"/>
</file>

<file path=xl/ctrlProps/ctrlProp175.xml><?xml version="1.0" encoding="utf-8"?>
<formControlPr xmlns="http://schemas.microsoft.com/office/spreadsheetml/2009/9/main" objectType="Radio" firstButton="1" fmlaLink="Combat!$S$47" lockText="1" noThreeD="1"/>
</file>

<file path=xl/ctrlProps/ctrlProp176.xml><?xml version="1.0" encoding="utf-8"?>
<formControlPr xmlns="http://schemas.microsoft.com/office/spreadsheetml/2009/9/main" objectType="Radio" checked="Checked" lockText="1" noThreeD="1"/>
</file>

<file path=xl/ctrlProps/ctrlProp177.xml><?xml version="1.0" encoding="utf-8"?>
<formControlPr xmlns="http://schemas.microsoft.com/office/spreadsheetml/2009/9/main" objectType="Radio" lockText="1" noThreeD="1"/>
</file>

<file path=xl/ctrlProps/ctrlProp178.xml><?xml version="1.0" encoding="utf-8"?>
<formControlPr xmlns="http://schemas.microsoft.com/office/spreadsheetml/2009/9/main" objectType="CheckBox" fmlaLink="Combat!$V$11" lockText="1" noThreeD="1"/>
</file>

<file path=xl/ctrlProps/ctrlProp179.xml><?xml version="1.0" encoding="utf-8"?>
<formControlPr xmlns="http://schemas.microsoft.com/office/spreadsheetml/2009/9/main" objectType="CheckBox" fmlaLink="Combat!$V$12" lockText="1" noThreeD="1"/>
</file>

<file path=xl/ctrlProps/ctrlProp18.xml><?xml version="1.0" encoding="utf-8"?>
<formControlPr xmlns="http://schemas.microsoft.com/office/spreadsheetml/2009/9/main" objectType="CheckBox" fmlaLink="Combat!$V$22" lockText="1" noThreeD="1"/>
</file>

<file path=xl/ctrlProps/ctrlProp180.xml><?xml version="1.0" encoding="utf-8"?>
<formControlPr xmlns="http://schemas.microsoft.com/office/spreadsheetml/2009/9/main" objectType="CheckBox" fmlaLink="Combat!$V$13" lockText="1" noThreeD="1"/>
</file>

<file path=xl/ctrlProps/ctrlProp181.xml><?xml version="1.0" encoding="utf-8"?>
<formControlPr xmlns="http://schemas.microsoft.com/office/spreadsheetml/2009/9/main" objectType="CheckBox" fmlaLink="Combat!$V$14" lockText="1" noThreeD="1"/>
</file>

<file path=xl/ctrlProps/ctrlProp182.xml><?xml version="1.0" encoding="utf-8"?>
<formControlPr xmlns="http://schemas.microsoft.com/office/spreadsheetml/2009/9/main" objectType="CheckBox" fmlaLink="Combat!$V$15" lockText="1" noThreeD="1"/>
</file>

<file path=xl/ctrlProps/ctrlProp183.xml><?xml version="1.0" encoding="utf-8"?>
<formControlPr xmlns="http://schemas.microsoft.com/office/spreadsheetml/2009/9/main" objectType="CheckBox" fmlaLink="Combat!$V$16" lockText="1" noThreeD="1"/>
</file>

<file path=xl/ctrlProps/ctrlProp184.xml><?xml version="1.0" encoding="utf-8"?>
<formControlPr xmlns="http://schemas.microsoft.com/office/spreadsheetml/2009/9/main" objectType="CheckBox" fmlaLink="Combat!$V$17" lockText="1" noThreeD="1"/>
</file>

<file path=xl/ctrlProps/ctrlProp185.xml><?xml version="1.0" encoding="utf-8"?>
<formControlPr xmlns="http://schemas.microsoft.com/office/spreadsheetml/2009/9/main" objectType="CheckBox" fmlaLink="Combat!$V$18" lockText="1" noThreeD="1"/>
</file>

<file path=xl/ctrlProps/ctrlProp186.xml><?xml version="1.0" encoding="utf-8"?>
<formControlPr xmlns="http://schemas.microsoft.com/office/spreadsheetml/2009/9/main" objectType="CheckBox" fmlaLink="Combat!$V$19" lockText="1" noThreeD="1"/>
</file>

<file path=xl/ctrlProps/ctrlProp187.xml><?xml version="1.0" encoding="utf-8"?>
<formControlPr xmlns="http://schemas.microsoft.com/office/spreadsheetml/2009/9/main" objectType="CheckBox" fmlaLink="Combat!$V$20" lockText="1" noThreeD="1"/>
</file>

<file path=xl/ctrlProps/ctrlProp188.xml><?xml version="1.0" encoding="utf-8"?>
<formControlPr xmlns="http://schemas.microsoft.com/office/spreadsheetml/2009/9/main" objectType="CheckBox" fmlaLink="Combat!$V$21" lockText="1" noThreeD="1"/>
</file>

<file path=xl/ctrlProps/ctrlProp19.xml><?xml version="1.0" encoding="utf-8"?>
<formControlPr xmlns="http://schemas.microsoft.com/office/spreadsheetml/2009/9/main" objectType="GBox" noThreeD="1"/>
</file>

<file path=xl/ctrlProps/ctrlProp2.xml><?xml version="1.0" encoding="utf-8"?>
<formControlPr xmlns="http://schemas.microsoft.com/office/spreadsheetml/2009/9/main" objectType="CheckBox" fmlaLink="Combat!$V$6" lockText="1" noThreeD="1"/>
</file>

<file path=xl/ctrlProps/ctrlProp20.xml><?xml version="1.0" encoding="utf-8"?>
<formControlPr xmlns="http://schemas.microsoft.com/office/spreadsheetml/2009/9/main" objectType="GBox" noThreeD="1"/>
</file>

<file path=xl/ctrlProps/ctrlProp21.xml><?xml version="1.0" encoding="utf-8"?>
<formControlPr xmlns="http://schemas.microsoft.com/office/spreadsheetml/2009/9/main" objectType="GBox" noThreeD="1"/>
</file>

<file path=xl/ctrlProps/ctrlProp22.xml><?xml version="1.0" encoding="utf-8"?>
<formControlPr xmlns="http://schemas.microsoft.com/office/spreadsheetml/2009/9/main" objectType="Radio" firstButton="1" fmlaLink="Combat!$U$53" lockText="1" noThreeD="1"/>
</file>

<file path=xl/ctrlProps/ctrlProp23.xml><?xml version="1.0" encoding="utf-8"?>
<formControlPr xmlns="http://schemas.microsoft.com/office/spreadsheetml/2009/9/main" objectType="Radio" lockText="1" noThreeD="1"/>
</file>

<file path=xl/ctrlProps/ctrlProp24.xml><?xml version="1.0" encoding="utf-8"?>
<formControlPr xmlns="http://schemas.microsoft.com/office/spreadsheetml/2009/9/main" objectType="Radio" checked="Checked" lockText="1" noThreeD="1"/>
</file>

<file path=xl/ctrlProps/ctrlProp25.xml><?xml version="1.0" encoding="utf-8"?>
<formControlPr xmlns="http://schemas.microsoft.com/office/spreadsheetml/2009/9/main" objectType="Radio" lockText="1" noThreeD="1"/>
</file>

<file path=xl/ctrlProps/ctrlProp26.xml><?xml version="1.0" encoding="utf-8"?>
<formControlPr xmlns="http://schemas.microsoft.com/office/spreadsheetml/2009/9/main" objectType="Radio" lockText="1" noThreeD="1"/>
</file>

<file path=xl/ctrlProps/ctrlProp27.xml><?xml version="1.0" encoding="utf-8"?>
<formControlPr xmlns="http://schemas.microsoft.com/office/spreadsheetml/2009/9/main" objectType="Radio" firstButton="1" fmlaLink="Combat!$W$53" lockText="1" noThreeD="1"/>
</file>

<file path=xl/ctrlProps/ctrlProp28.xml><?xml version="1.0" encoding="utf-8"?>
<formControlPr xmlns="http://schemas.microsoft.com/office/spreadsheetml/2009/9/main" objectType="Radio" lockText="1" noThreeD="1"/>
</file>

<file path=xl/ctrlProps/ctrlProp29.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CheckBox" fmlaLink="Combat!$V$7" lockText="1" noThreeD="1"/>
</file>

<file path=xl/ctrlProps/ctrlProp30.xml><?xml version="1.0" encoding="utf-8"?>
<formControlPr xmlns="http://schemas.microsoft.com/office/spreadsheetml/2009/9/main" objectType="Radio" checked="Checked" lockText="1" noThreeD="1"/>
</file>

<file path=xl/ctrlProps/ctrlProp31.xml><?xml version="1.0" encoding="utf-8"?>
<formControlPr xmlns="http://schemas.microsoft.com/office/spreadsheetml/2009/9/main" objectType="Radio" lockText="1" noThreeD="1"/>
</file>

<file path=xl/ctrlProps/ctrlProp32.xml><?xml version="1.0" encoding="utf-8"?>
<formControlPr xmlns="http://schemas.microsoft.com/office/spreadsheetml/2009/9/main" objectType="Radio" firstButton="1" fmlaLink="Combat!$S$47" lockText="1" noThreeD="1"/>
</file>

<file path=xl/ctrlProps/ctrlProp33.xml><?xml version="1.0" encoding="utf-8"?>
<formControlPr xmlns="http://schemas.microsoft.com/office/spreadsheetml/2009/9/main" objectType="Radio" checked="Checked" lockText="1" noThreeD="1"/>
</file>

<file path=xl/ctrlProps/ctrlProp34.xml><?xml version="1.0" encoding="utf-8"?>
<formControlPr xmlns="http://schemas.microsoft.com/office/spreadsheetml/2009/9/main" objectType="Radio" lockText="1" noThreeD="1"/>
</file>

<file path=xl/ctrlProps/ctrlProp35.xml><?xml version="1.0" encoding="utf-8"?>
<formControlPr xmlns="http://schemas.microsoft.com/office/spreadsheetml/2009/9/main" objectType="CheckBox" fmlaLink="Combat!$V$11" lockText="1" noThreeD="1"/>
</file>

<file path=xl/ctrlProps/ctrlProp36.xml><?xml version="1.0" encoding="utf-8"?>
<formControlPr xmlns="http://schemas.microsoft.com/office/spreadsheetml/2009/9/main" objectType="CheckBox" fmlaLink="Combat!$V$12" lockText="1" noThreeD="1"/>
</file>

<file path=xl/ctrlProps/ctrlProp37.xml><?xml version="1.0" encoding="utf-8"?>
<formControlPr xmlns="http://schemas.microsoft.com/office/spreadsheetml/2009/9/main" objectType="CheckBox" fmlaLink="Combat!$V$13" lockText="1" noThreeD="1"/>
</file>

<file path=xl/ctrlProps/ctrlProp38.xml><?xml version="1.0" encoding="utf-8"?>
<formControlPr xmlns="http://schemas.microsoft.com/office/spreadsheetml/2009/9/main" objectType="CheckBox" fmlaLink="Combat!$V$14" lockText="1" noThreeD="1"/>
</file>

<file path=xl/ctrlProps/ctrlProp39.xml><?xml version="1.0" encoding="utf-8"?>
<formControlPr xmlns="http://schemas.microsoft.com/office/spreadsheetml/2009/9/main" objectType="CheckBox" fmlaLink="Combat!$V$15" lockText="1" noThreeD="1"/>
</file>

<file path=xl/ctrlProps/ctrlProp4.xml><?xml version="1.0" encoding="utf-8"?>
<formControlPr xmlns="http://schemas.microsoft.com/office/spreadsheetml/2009/9/main" objectType="CheckBox" fmlaLink="Combat!$V$8" lockText="1" noThreeD="1"/>
</file>

<file path=xl/ctrlProps/ctrlProp40.xml><?xml version="1.0" encoding="utf-8"?>
<formControlPr xmlns="http://schemas.microsoft.com/office/spreadsheetml/2009/9/main" objectType="CheckBox" fmlaLink="Combat!$V$16" lockText="1" noThreeD="1"/>
</file>

<file path=xl/ctrlProps/ctrlProp41.xml><?xml version="1.0" encoding="utf-8"?>
<formControlPr xmlns="http://schemas.microsoft.com/office/spreadsheetml/2009/9/main" objectType="CheckBox" fmlaLink="Combat!$V$17" lockText="1" noThreeD="1"/>
</file>

<file path=xl/ctrlProps/ctrlProp42.xml><?xml version="1.0" encoding="utf-8"?>
<formControlPr xmlns="http://schemas.microsoft.com/office/spreadsheetml/2009/9/main" objectType="CheckBox" fmlaLink="Combat!$V$18" lockText="1" noThreeD="1"/>
</file>

<file path=xl/ctrlProps/ctrlProp43.xml><?xml version="1.0" encoding="utf-8"?>
<formControlPr xmlns="http://schemas.microsoft.com/office/spreadsheetml/2009/9/main" objectType="CheckBox" fmlaLink="Combat!$V$19" lockText="1" noThreeD="1"/>
</file>

<file path=xl/ctrlProps/ctrlProp44.xml><?xml version="1.0" encoding="utf-8"?>
<formControlPr xmlns="http://schemas.microsoft.com/office/spreadsheetml/2009/9/main" objectType="CheckBox" fmlaLink="Combat!$V$20" lockText="1" noThreeD="1"/>
</file>

<file path=xl/ctrlProps/ctrlProp45.xml><?xml version="1.0" encoding="utf-8"?>
<formControlPr xmlns="http://schemas.microsoft.com/office/spreadsheetml/2009/9/main" objectType="CheckBox" fmlaLink="Combat!$V$21" lockText="1" noThreeD="1"/>
</file>

<file path=xl/ctrlProps/ctrlProp46.xml><?xml version="1.0" encoding="utf-8"?>
<formControlPr xmlns="http://schemas.microsoft.com/office/spreadsheetml/2009/9/main" objectType="GBox" noThreeD="1"/>
</file>

<file path=xl/ctrlProps/ctrlProp47.xml><?xml version="1.0" encoding="utf-8"?>
<formControlPr xmlns="http://schemas.microsoft.com/office/spreadsheetml/2009/9/main" objectType="Radio" firstButton="1" lockText="1" noThreeD="1"/>
</file>

<file path=xl/ctrlProps/ctrlProp48.xml><?xml version="1.0" encoding="utf-8"?>
<formControlPr xmlns="http://schemas.microsoft.com/office/spreadsheetml/2009/9/main" objectType="Radio" checked="Checked" lockText="1" noThreeD="1"/>
</file>

<file path=xl/ctrlProps/ctrlProp49.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CheckBox" fmlaLink="Combat!$V$9" lockText="1" noThreeD="1"/>
</file>

<file path=xl/ctrlProps/ctrlProp50.xml><?xml version="1.0" encoding="utf-8"?>
<formControlPr xmlns="http://schemas.microsoft.com/office/spreadsheetml/2009/9/main" objectType="Radio" lockText="1" noThreeD="1"/>
</file>

<file path=xl/ctrlProps/ctrlProp51.xml><?xml version="1.0" encoding="utf-8"?>
<formControlPr xmlns="http://schemas.microsoft.com/office/spreadsheetml/2009/9/main" objectType="Radio" lockText="1" noThreeD="1"/>
</file>

<file path=xl/ctrlProps/ctrlProp52.xml><?xml version="1.0" encoding="utf-8"?>
<formControlPr xmlns="http://schemas.microsoft.com/office/spreadsheetml/2009/9/main" objectType="Radio" lockText="1" noThreeD="1"/>
</file>

<file path=xl/ctrlProps/ctrlProp53.xml><?xml version="1.0" encoding="utf-8"?>
<formControlPr xmlns="http://schemas.microsoft.com/office/spreadsheetml/2009/9/main" objectType="GBox" noThreeD="1"/>
</file>

<file path=xl/ctrlProps/ctrlProp54.xml><?xml version="1.0" encoding="utf-8"?>
<formControlPr xmlns="http://schemas.microsoft.com/office/spreadsheetml/2009/9/main" objectType="Radio" checked="Checked" firstButton="1" lockText="1" noThreeD="1"/>
</file>

<file path=xl/ctrlProps/ctrlProp55.xml><?xml version="1.0" encoding="utf-8"?>
<formControlPr xmlns="http://schemas.microsoft.com/office/spreadsheetml/2009/9/main" objectType="Radio" lockText="1" noThreeD="1"/>
</file>

<file path=xl/ctrlProps/ctrlProp56.xml><?xml version="1.0" encoding="utf-8"?>
<formControlPr xmlns="http://schemas.microsoft.com/office/spreadsheetml/2009/9/main" objectType="Radio" lockText="1" noThreeD="1"/>
</file>

<file path=xl/ctrlProps/ctrlProp57.xml><?xml version="1.0" encoding="utf-8"?>
<formControlPr xmlns="http://schemas.microsoft.com/office/spreadsheetml/2009/9/main" objectType="Radio" lockText="1" noThreeD="1"/>
</file>

<file path=xl/ctrlProps/ctrlProp58.xml><?xml version="1.0" encoding="utf-8"?>
<formControlPr xmlns="http://schemas.microsoft.com/office/spreadsheetml/2009/9/main" objectType="Radio" lockText="1" noThreeD="1"/>
</file>

<file path=xl/ctrlProps/ctrlProp59.xml><?xml version="1.0" encoding="utf-8"?>
<formControlPr xmlns="http://schemas.microsoft.com/office/spreadsheetml/2009/9/main" objectType="Radio" lockText="1" noThreeD="1"/>
</file>

<file path=xl/ctrlProps/ctrlProp6.xml><?xml version="1.0" encoding="utf-8"?>
<formControlPr xmlns="http://schemas.microsoft.com/office/spreadsheetml/2009/9/main" objectType="CheckBox" fmlaLink="Combat!$V$10" lockText="1" noThreeD="1"/>
</file>

<file path=xl/ctrlProps/ctrlProp60.xml><?xml version="1.0" encoding="utf-8"?>
<formControlPr xmlns="http://schemas.microsoft.com/office/spreadsheetml/2009/9/main" objectType="GBox" noThreeD="1"/>
</file>

<file path=xl/ctrlProps/ctrlProp61.xml><?xml version="1.0" encoding="utf-8"?>
<formControlPr xmlns="http://schemas.microsoft.com/office/spreadsheetml/2009/9/main" objectType="Radio" checked="Checked" firstButton="1" fmlaLink="WP!$B$271" lockText="1" noThreeD="1"/>
</file>

<file path=xl/ctrlProps/ctrlProp62.xml><?xml version="1.0" encoding="utf-8"?>
<formControlPr xmlns="http://schemas.microsoft.com/office/spreadsheetml/2009/9/main" objectType="Radio" lockText="1" noThreeD="1"/>
</file>

<file path=xl/ctrlProps/ctrlProp63.xml><?xml version="1.0" encoding="utf-8"?>
<formControlPr xmlns="http://schemas.microsoft.com/office/spreadsheetml/2009/9/main" objectType="Radio" lockText="1" noThreeD="1"/>
</file>

<file path=xl/ctrlProps/ctrlProp64.xml><?xml version="1.0" encoding="utf-8"?>
<formControlPr xmlns="http://schemas.microsoft.com/office/spreadsheetml/2009/9/main" objectType="Radio" lockText="1" noThreeD="1"/>
</file>

<file path=xl/ctrlProps/ctrlProp65.xml><?xml version="1.0" encoding="utf-8"?>
<formControlPr xmlns="http://schemas.microsoft.com/office/spreadsheetml/2009/9/main" objectType="Radio" lockText="1" noThreeD="1"/>
</file>

<file path=xl/ctrlProps/ctrlProp66.xml><?xml version="1.0" encoding="utf-8"?>
<formControlPr xmlns="http://schemas.microsoft.com/office/spreadsheetml/2009/9/main" objectType="Radio" lockText="1" noThreeD="1"/>
</file>

<file path=xl/ctrlProps/ctrlProp67.xml><?xml version="1.0" encoding="utf-8"?>
<formControlPr xmlns="http://schemas.microsoft.com/office/spreadsheetml/2009/9/main" objectType="GBox" noThreeD="1"/>
</file>

<file path=xl/ctrlProps/ctrlProp68.xml><?xml version="1.0" encoding="utf-8"?>
<formControlPr xmlns="http://schemas.microsoft.com/office/spreadsheetml/2009/9/main" objectType="Radio" checked="Checked" firstButton="1" fmlaLink="WP!$D$271" lockText="1" noThreeD="1"/>
</file>

<file path=xl/ctrlProps/ctrlProp69.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Radio" lockText="1" noThreeD="1"/>
</file>

<file path=xl/ctrlProps/ctrlProp71.xml><?xml version="1.0" encoding="utf-8"?>
<formControlPr xmlns="http://schemas.microsoft.com/office/spreadsheetml/2009/9/main" objectType="Radio" lockText="1" noThreeD="1"/>
</file>

<file path=xl/ctrlProps/ctrlProp72.xml><?xml version="1.0" encoding="utf-8"?>
<formControlPr xmlns="http://schemas.microsoft.com/office/spreadsheetml/2009/9/main" objectType="Radio" lockText="1" noThreeD="1"/>
</file>

<file path=xl/ctrlProps/ctrlProp73.xml><?xml version="1.0" encoding="utf-8"?>
<formControlPr xmlns="http://schemas.microsoft.com/office/spreadsheetml/2009/9/main" objectType="Radio" lockText="1" noThreeD="1"/>
</file>

<file path=xl/ctrlProps/ctrlProp74.xml><?xml version="1.0" encoding="utf-8"?>
<formControlPr xmlns="http://schemas.microsoft.com/office/spreadsheetml/2009/9/main" objectType="GBox" noThreeD="1"/>
</file>

<file path=xl/ctrlProps/ctrlProp75.xml><?xml version="1.0" encoding="utf-8"?>
<formControlPr xmlns="http://schemas.microsoft.com/office/spreadsheetml/2009/9/main" objectType="Radio" firstButton="1" fmlaLink="WP!$B$272" lockText="1" noThreeD="1"/>
</file>

<file path=xl/ctrlProps/ctrlProp76.xml><?xml version="1.0" encoding="utf-8"?>
<formControlPr xmlns="http://schemas.microsoft.com/office/spreadsheetml/2009/9/main" objectType="Radio" lockText="1" noThreeD="1"/>
</file>

<file path=xl/ctrlProps/ctrlProp77.xml><?xml version="1.0" encoding="utf-8"?>
<formControlPr xmlns="http://schemas.microsoft.com/office/spreadsheetml/2009/9/main" objectType="Radio" lockText="1" noThreeD="1"/>
</file>

<file path=xl/ctrlProps/ctrlProp78.xml><?xml version="1.0" encoding="utf-8"?>
<formControlPr xmlns="http://schemas.microsoft.com/office/spreadsheetml/2009/9/main" objectType="Radio" lockText="1" noThreeD="1"/>
</file>

<file path=xl/ctrlProps/ctrlProp79.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Radio" lockText="1" noThreeD="1"/>
</file>

<file path=xl/ctrlProps/ctrlProp81.xml><?xml version="1.0" encoding="utf-8"?>
<formControlPr xmlns="http://schemas.microsoft.com/office/spreadsheetml/2009/9/main" objectType="GBox" noThreeD="1"/>
</file>

<file path=xl/ctrlProps/ctrlProp82.xml><?xml version="1.0" encoding="utf-8"?>
<formControlPr xmlns="http://schemas.microsoft.com/office/spreadsheetml/2009/9/main" objectType="Radio" firstButton="1" fmlaLink="WP!$D$272" lockText="1" noThreeD="1"/>
</file>

<file path=xl/ctrlProps/ctrlProp83.xml><?xml version="1.0" encoding="utf-8"?>
<formControlPr xmlns="http://schemas.microsoft.com/office/spreadsheetml/2009/9/main" objectType="Radio" lockText="1" noThreeD="1"/>
</file>

<file path=xl/ctrlProps/ctrlProp84.xml><?xml version="1.0" encoding="utf-8"?>
<formControlPr xmlns="http://schemas.microsoft.com/office/spreadsheetml/2009/9/main" objectType="Radio" lockText="1" noThreeD="1"/>
</file>

<file path=xl/ctrlProps/ctrlProp85.xml><?xml version="1.0" encoding="utf-8"?>
<formControlPr xmlns="http://schemas.microsoft.com/office/spreadsheetml/2009/9/main" objectType="Radio" lockText="1" noThreeD="1"/>
</file>

<file path=xl/ctrlProps/ctrlProp86.xml><?xml version="1.0" encoding="utf-8"?>
<formControlPr xmlns="http://schemas.microsoft.com/office/spreadsheetml/2009/9/main" objectType="Radio" lockText="1" noThreeD="1"/>
</file>

<file path=xl/ctrlProps/ctrlProp87.xml><?xml version="1.0" encoding="utf-8"?>
<formControlPr xmlns="http://schemas.microsoft.com/office/spreadsheetml/2009/9/main" objectType="Radio" lockText="1" noThreeD="1"/>
</file>

<file path=xl/ctrlProps/ctrlProp88.xml><?xml version="1.0" encoding="utf-8"?>
<formControlPr xmlns="http://schemas.microsoft.com/office/spreadsheetml/2009/9/main" objectType="GBox" noThreeD="1"/>
</file>

<file path=xl/ctrlProps/ctrlProp89.xml><?xml version="1.0" encoding="utf-8"?>
<formControlPr xmlns="http://schemas.microsoft.com/office/spreadsheetml/2009/9/main" objectType="Radio" firstButton="1" fmlaLink="WP!$B$273"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Radio" lockText="1" noThreeD="1"/>
</file>

<file path=xl/ctrlProps/ctrlProp91.xml><?xml version="1.0" encoding="utf-8"?>
<formControlPr xmlns="http://schemas.microsoft.com/office/spreadsheetml/2009/9/main" objectType="Radio" lockText="1" noThreeD="1"/>
</file>

<file path=xl/ctrlProps/ctrlProp92.xml><?xml version="1.0" encoding="utf-8"?>
<formControlPr xmlns="http://schemas.microsoft.com/office/spreadsheetml/2009/9/main" objectType="Radio" lockText="1" noThreeD="1"/>
</file>

<file path=xl/ctrlProps/ctrlProp93.xml><?xml version="1.0" encoding="utf-8"?>
<formControlPr xmlns="http://schemas.microsoft.com/office/spreadsheetml/2009/9/main" objectType="Radio" lockText="1" noThreeD="1"/>
</file>

<file path=xl/ctrlProps/ctrlProp94.xml><?xml version="1.0" encoding="utf-8"?>
<formControlPr xmlns="http://schemas.microsoft.com/office/spreadsheetml/2009/9/main" objectType="Radio" lockText="1" noThreeD="1"/>
</file>

<file path=xl/ctrlProps/ctrlProp95.xml><?xml version="1.0" encoding="utf-8"?>
<formControlPr xmlns="http://schemas.microsoft.com/office/spreadsheetml/2009/9/main" objectType="GBox" noThreeD="1"/>
</file>

<file path=xl/ctrlProps/ctrlProp96.xml><?xml version="1.0" encoding="utf-8"?>
<formControlPr xmlns="http://schemas.microsoft.com/office/spreadsheetml/2009/9/main" objectType="Radio" firstButton="1" fmlaLink="WP!$D$273" lockText="1" noThreeD="1"/>
</file>

<file path=xl/ctrlProps/ctrlProp97.xml><?xml version="1.0" encoding="utf-8"?>
<formControlPr xmlns="http://schemas.microsoft.com/office/spreadsheetml/2009/9/main" objectType="Radio" lockText="1" noThreeD="1"/>
</file>

<file path=xl/ctrlProps/ctrlProp98.xml><?xml version="1.0" encoding="utf-8"?>
<formControlPr xmlns="http://schemas.microsoft.com/office/spreadsheetml/2009/9/main" objectType="Radio" lockText="1" noThreeD="1"/>
</file>

<file path=xl/ctrlProps/ctrlProp99.xml><?xml version="1.0" encoding="utf-8"?>
<formControlPr xmlns="http://schemas.microsoft.com/office/spreadsheetml/2009/9/main" objectType="Radio"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8" Type="http://schemas.openxmlformats.org/officeDocument/2006/relationships/hyperlink" Target="#'Printer - Character Sheet'!A1"/><Relationship Id="rId13" Type="http://schemas.openxmlformats.org/officeDocument/2006/relationships/hyperlink" Target="#'Legal Information'!A1"/><Relationship Id="rId3" Type="http://schemas.openxmlformats.org/officeDocument/2006/relationships/hyperlink" Target="#'Magic &amp; Psionics'!A1"/><Relationship Id="rId7" Type="http://schemas.openxmlformats.org/officeDocument/2006/relationships/hyperlink" Target="#Customize!A1"/><Relationship Id="rId12" Type="http://schemas.openxmlformats.org/officeDocument/2006/relationships/hyperlink" Target="#Instructions!A1"/><Relationship Id="rId2" Type="http://schemas.openxmlformats.org/officeDocument/2006/relationships/hyperlink" Target="#'Character Sheet'!A1"/><Relationship Id="rId1" Type="http://schemas.openxmlformats.org/officeDocument/2006/relationships/image" Target="../media/image2.png"/><Relationship Id="rId6" Type="http://schemas.openxmlformats.org/officeDocument/2006/relationships/hyperlink" Target="#'Skills Worktable'!A1"/><Relationship Id="rId11" Type="http://schemas.openxmlformats.org/officeDocument/2006/relationships/hyperlink" Target="#Cover!A1"/><Relationship Id="rId5" Type="http://schemas.openxmlformats.org/officeDocument/2006/relationships/hyperlink" Target="#Worktable!A1"/><Relationship Id="rId10" Type="http://schemas.openxmlformats.org/officeDocument/2006/relationships/hyperlink" Target="#'Printer - Combat Sheet'!A1"/><Relationship Id="rId4" Type="http://schemas.openxmlformats.org/officeDocument/2006/relationships/hyperlink" Target="#'Combat Sheet'!A1"/><Relationship Id="rId9" Type="http://schemas.openxmlformats.org/officeDocument/2006/relationships/hyperlink" Target="#'Printer - Magic &amp; Psionics'!A1"/><Relationship Id="rId14" Type="http://schemas.openxmlformats.org/officeDocument/2006/relationships/hyperlink" Target="#'Editor''s Notes'!A1"/></Relationships>
</file>

<file path=xl/drawings/_rels/drawing11.xml.rels><?xml version="1.0" encoding="UTF-8" standalone="yes"?>
<Relationships xmlns="http://schemas.openxmlformats.org/package/2006/relationships"><Relationship Id="rId8" Type="http://schemas.openxmlformats.org/officeDocument/2006/relationships/hyperlink" Target="#'Printer - Character Sheet'!A1"/><Relationship Id="rId13" Type="http://schemas.openxmlformats.org/officeDocument/2006/relationships/hyperlink" Target="#'Legal Information'!A1"/><Relationship Id="rId3" Type="http://schemas.openxmlformats.org/officeDocument/2006/relationships/hyperlink" Target="#'Magic &amp; Psionics'!A1"/><Relationship Id="rId7" Type="http://schemas.openxmlformats.org/officeDocument/2006/relationships/hyperlink" Target="#Customize!A1"/><Relationship Id="rId12" Type="http://schemas.openxmlformats.org/officeDocument/2006/relationships/hyperlink" Target="#Instructions!A1"/><Relationship Id="rId2" Type="http://schemas.openxmlformats.org/officeDocument/2006/relationships/hyperlink" Target="#'Character Sheet'!A1"/><Relationship Id="rId1" Type="http://schemas.openxmlformats.org/officeDocument/2006/relationships/image" Target="../media/image2.png"/><Relationship Id="rId6" Type="http://schemas.openxmlformats.org/officeDocument/2006/relationships/hyperlink" Target="#'Skills Worktable'!A1"/><Relationship Id="rId11" Type="http://schemas.openxmlformats.org/officeDocument/2006/relationships/hyperlink" Target="#Cover!A1"/><Relationship Id="rId5" Type="http://schemas.openxmlformats.org/officeDocument/2006/relationships/hyperlink" Target="#Worktable!A1"/><Relationship Id="rId10" Type="http://schemas.openxmlformats.org/officeDocument/2006/relationships/hyperlink" Target="#'Printer - Combat Sheet'!A1"/><Relationship Id="rId4" Type="http://schemas.openxmlformats.org/officeDocument/2006/relationships/hyperlink" Target="#'Combat Sheet'!A1"/><Relationship Id="rId9" Type="http://schemas.openxmlformats.org/officeDocument/2006/relationships/hyperlink" Target="#'Printer - Magic &amp; Psionics'!A1"/><Relationship Id="rId14" Type="http://schemas.openxmlformats.org/officeDocument/2006/relationships/hyperlink" Target="#'Editor''s Notes'!A1"/></Relationships>
</file>

<file path=xl/drawings/_rels/drawing12.xml.rels><?xml version="1.0" encoding="UTF-8" standalone="yes"?>
<Relationships xmlns="http://schemas.openxmlformats.org/package/2006/relationships"><Relationship Id="rId8" Type="http://schemas.openxmlformats.org/officeDocument/2006/relationships/hyperlink" Target="#'Printer - Character Sheet'!A1"/><Relationship Id="rId13" Type="http://schemas.openxmlformats.org/officeDocument/2006/relationships/hyperlink" Target="#'Legal Information'!A1"/><Relationship Id="rId3" Type="http://schemas.openxmlformats.org/officeDocument/2006/relationships/hyperlink" Target="#'Magic &amp; Psionics'!A1"/><Relationship Id="rId7" Type="http://schemas.openxmlformats.org/officeDocument/2006/relationships/hyperlink" Target="#Customize!A1"/><Relationship Id="rId12" Type="http://schemas.openxmlformats.org/officeDocument/2006/relationships/hyperlink" Target="#Instructions!A1"/><Relationship Id="rId2" Type="http://schemas.openxmlformats.org/officeDocument/2006/relationships/hyperlink" Target="#'Character Sheet'!A1"/><Relationship Id="rId1" Type="http://schemas.openxmlformats.org/officeDocument/2006/relationships/image" Target="../media/image2.png"/><Relationship Id="rId6" Type="http://schemas.openxmlformats.org/officeDocument/2006/relationships/hyperlink" Target="#'Skills Worktable'!A1"/><Relationship Id="rId11" Type="http://schemas.openxmlformats.org/officeDocument/2006/relationships/hyperlink" Target="#Cover!A1"/><Relationship Id="rId5" Type="http://schemas.openxmlformats.org/officeDocument/2006/relationships/hyperlink" Target="#Worktable!A1"/><Relationship Id="rId10" Type="http://schemas.openxmlformats.org/officeDocument/2006/relationships/hyperlink" Target="#'Printer - Combat Sheet'!A1"/><Relationship Id="rId4" Type="http://schemas.openxmlformats.org/officeDocument/2006/relationships/hyperlink" Target="#'Combat Sheet'!A1"/><Relationship Id="rId9" Type="http://schemas.openxmlformats.org/officeDocument/2006/relationships/hyperlink" Target="#'Printer - Magic &amp; Psionics'!A1"/><Relationship Id="rId14" Type="http://schemas.openxmlformats.org/officeDocument/2006/relationships/hyperlink" Target="#'Editor''s Notes'!A1"/></Relationships>
</file>

<file path=xl/drawings/_rels/drawing13.xml.rels><?xml version="1.0" encoding="UTF-8" standalone="yes"?>
<Relationships xmlns="http://schemas.openxmlformats.org/package/2006/relationships"><Relationship Id="rId8" Type="http://schemas.openxmlformats.org/officeDocument/2006/relationships/hyperlink" Target="#'Printer - Character Sheet'!A1"/><Relationship Id="rId13" Type="http://schemas.openxmlformats.org/officeDocument/2006/relationships/hyperlink" Target="#'Legal Information'!A1"/><Relationship Id="rId3" Type="http://schemas.openxmlformats.org/officeDocument/2006/relationships/hyperlink" Target="#'Magic &amp; Psionics'!A1"/><Relationship Id="rId7" Type="http://schemas.openxmlformats.org/officeDocument/2006/relationships/hyperlink" Target="#Customize!A1"/><Relationship Id="rId12" Type="http://schemas.openxmlformats.org/officeDocument/2006/relationships/hyperlink" Target="#Instructions!A1"/><Relationship Id="rId2" Type="http://schemas.openxmlformats.org/officeDocument/2006/relationships/hyperlink" Target="#'Character Sheet'!A1"/><Relationship Id="rId1" Type="http://schemas.openxmlformats.org/officeDocument/2006/relationships/image" Target="../media/image2.png"/><Relationship Id="rId6" Type="http://schemas.openxmlformats.org/officeDocument/2006/relationships/hyperlink" Target="#'Skills Worktable'!A1"/><Relationship Id="rId11" Type="http://schemas.openxmlformats.org/officeDocument/2006/relationships/hyperlink" Target="#Cover!A1"/><Relationship Id="rId5" Type="http://schemas.openxmlformats.org/officeDocument/2006/relationships/hyperlink" Target="#Worktable!A1"/><Relationship Id="rId10" Type="http://schemas.openxmlformats.org/officeDocument/2006/relationships/hyperlink" Target="#'Printer - Combat Sheet'!A1"/><Relationship Id="rId4" Type="http://schemas.openxmlformats.org/officeDocument/2006/relationships/hyperlink" Target="#'Combat Sheet'!A1"/><Relationship Id="rId9" Type="http://schemas.openxmlformats.org/officeDocument/2006/relationships/hyperlink" Target="#'Printer - Magic &amp; Psionics'!A1"/><Relationship Id="rId14" Type="http://schemas.openxmlformats.org/officeDocument/2006/relationships/hyperlink" Target="#'Editor''s Notes'!A1"/></Relationships>
</file>

<file path=xl/drawings/_rels/drawing2.xml.rels><?xml version="1.0" encoding="UTF-8" standalone="yes"?>
<Relationships xmlns="http://schemas.openxmlformats.org/package/2006/relationships"><Relationship Id="rId8" Type="http://schemas.openxmlformats.org/officeDocument/2006/relationships/hyperlink" Target="#'Printer - Character Sheet'!A1"/><Relationship Id="rId13" Type="http://schemas.openxmlformats.org/officeDocument/2006/relationships/hyperlink" Target="#'Legal Information'!A1"/><Relationship Id="rId3" Type="http://schemas.openxmlformats.org/officeDocument/2006/relationships/hyperlink" Target="#'Magic &amp; Psionics'!A1"/><Relationship Id="rId7" Type="http://schemas.openxmlformats.org/officeDocument/2006/relationships/hyperlink" Target="#Customize!A1"/><Relationship Id="rId12" Type="http://schemas.openxmlformats.org/officeDocument/2006/relationships/hyperlink" Target="#Instructions!A1"/><Relationship Id="rId2" Type="http://schemas.openxmlformats.org/officeDocument/2006/relationships/hyperlink" Target="#'Character Sheet'!A1"/><Relationship Id="rId1" Type="http://schemas.openxmlformats.org/officeDocument/2006/relationships/image" Target="../media/image2.png"/><Relationship Id="rId6" Type="http://schemas.openxmlformats.org/officeDocument/2006/relationships/hyperlink" Target="#'Skills Worktable'!A1"/><Relationship Id="rId11" Type="http://schemas.openxmlformats.org/officeDocument/2006/relationships/hyperlink" Target="#Cover!A1"/><Relationship Id="rId5" Type="http://schemas.openxmlformats.org/officeDocument/2006/relationships/hyperlink" Target="#Worktable!A1"/><Relationship Id="rId10" Type="http://schemas.openxmlformats.org/officeDocument/2006/relationships/hyperlink" Target="#'Printer - Combat Sheet'!A1"/><Relationship Id="rId4" Type="http://schemas.openxmlformats.org/officeDocument/2006/relationships/hyperlink" Target="#'Combat Sheet'!A1"/><Relationship Id="rId9" Type="http://schemas.openxmlformats.org/officeDocument/2006/relationships/hyperlink" Target="#'Printer - Magic &amp; Psionics'!A1"/><Relationship Id="rId14" Type="http://schemas.openxmlformats.org/officeDocument/2006/relationships/hyperlink" Target="#'Editor''s Notes'!A1"/></Relationships>
</file>

<file path=xl/drawings/_rels/drawing3.xml.rels><?xml version="1.0" encoding="UTF-8" standalone="yes"?>
<Relationships xmlns="http://schemas.openxmlformats.org/package/2006/relationships"><Relationship Id="rId8" Type="http://schemas.openxmlformats.org/officeDocument/2006/relationships/hyperlink" Target="#'Printer - Character Sheet'!A1"/><Relationship Id="rId13" Type="http://schemas.openxmlformats.org/officeDocument/2006/relationships/hyperlink" Target="#'Legal Information'!A1"/><Relationship Id="rId3" Type="http://schemas.openxmlformats.org/officeDocument/2006/relationships/hyperlink" Target="#'Magic &amp; Psionics'!A1"/><Relationship Id="rId7" Type="http://schemas.openxmlformats.org/officeDocument/2006/relationships/hyperlink" Target="#Customize!A1"/><Relationship Id="rId12" Type="http://schemas.openxmlformats.org/officeDocument/2006/relationships/hyperlink" Target="#Instructions!A1"/><Relationship Id="rId2" Type="http://schemas.openxmlformats.org/officeDocument/2006/relationships/hyperlink" Target="#'Character Sheet'!A1"/><Relationship Id="rId1" Type="http://schemas.openxmlformats.org/officeDocument/2006/relationships/image" Target="../media/image2.png"/><Relationship Id="rId6" Type="http://schemas.openxmlformats.org/officeDocument/2006/relationships/hyperlink" Target="#'Skills Worktable'!A1"/><Relationship Id="rId11" Type="http://schemas.openxmlformats.org/officeDocument/2006/relationships/hyperlink" Target="#Cover!A1"/><Relationship Id="rId5" Type="http://schemas.openxmlformats.org/officeDocument/2006/relationships/hyperlink" Target="#Worktable!A1"/><Relationship Id="rId10" Type="http://schemas.openxmlformats.org/officeDocument/2006/relationships/hyperlink" Target="#'Printer - Combat Sheet'!A1"/><Relationship Id="rId4" Type="http://schemas.openxmlformats.org/officeDocument/2006/relationships/hyperlink" Target="#'Combat Sheet'!A1"/><Relationship Id="rId9" Type="http://schemas.openxmlformats.org/officeDocument/2006/relationships/hyperlink" Target="#'Printer - Magic &amp; Psionics'!A1"/><Relationship Id="rId14" Type="http://schemas.openxmlformats.org/officeDocument/2006/relationships/hyperlink" Target="#'Editor''s Notes'!A1"/></Relationships>
</file>

<file path=xl/drawings/_rels/drawing4.xml.rels><?xml version="1.0" encoding="UTF-8" standalone="yes"?>
<Relationships xmlns="http://schemas.openxmlformats.org/package/2006/relationships"><Relationship Id="rId8" Type="http://schemas.openxmlformats.org/officeDocument/2006/relationships/hyperlink" Target="#'Printer - Character Sheet'!A1"/><Relationship Id="rId13" Type="http://schemas.openxmlformats.org/officeDocument/2006/relationships/hyperlink" Target="#'Legal Information'!A1"/><Relationship Id="rId3" Type="http://schemas.openxmlformats.org/officeDocument/2006/relationships/hyperlink" Target="#'Magic &amp; Psionics'!A1"/><Relationship Id="rId7" Type="http://schemas.openxmlformats.org/officeDocument/2006/relationships/hyperlink" Target="#Customize!A1"/><Relationship Id="rId12" Type="http://schemas.openxmlformats.org/officeDocument/2006/relationships/hyperlink" Target="#Instructions!A1"/><Relationship Id="rId2" Type="http://schemas.openxmlformats.org/officeDocument/2006/relationships/hyperlink" Target="#'Character Sheet'!A1"/><Relationship Id="rId1" Type="http://schemas.openxmlformats.org/officeDocument/2006/relationships/image" Target="../media/image2.png"/><Relationship Id="rId6" Type="http://schemas.openxmlformats.org/officeDocument/2006/relationships/hyperlink" Target="#'Skills Worktable'!A1"/><Relationship Id="rId11" Type="http://schemas.openxmlformats.org/officeDocument/2006/relationships/hyperlink" Target="#Cover!A1"/><Relationship Id="rId5" Type="http://schemas.openxmlformats.org/officeDocument/2006/relationships/hyperlink" Target="#Worktable!A1"/><Relationship Id="rId10" Type="http://schemas.openxmlformats.org/officeDocument/2006/relationships/hyperlink" Target="#'Printer - Combat Sheet'!A1"/><Relationship Id="rId4" Type="http://schemas.openxmlformats.org/officeDocument/2006/relationships/hyperlink" Target="#'Combat Sheet'!A1"/><Relationship Id="rId9" Type="http://schemas.openxmlformats.org/officeDocument/2006/relationships/hyperlink" Target="#'Printer - Magic &amp; Psionics'!A1"/><Relationship Id="rId14" Type="http://schemas.openxmlformats.org/officeDocument/2006/relationships/hyperlink" Target="#'Editor''s Notes'!A1"/></Relationships>
</file>

<file path=xl/drawings/_rels/drawing5.xml.rels><?xml version="1.0" encoding="UTF-8" standalone="yes"?>
<Relationships xmlns="http://schemas.openxmlformats.org/package/2006/relationships"><Relationship Id="rId8" Type="http://schemas.openxmlformats.org/officeDocument/2006/relationships/hyperlink" Target="#'Printer - Character Sheet'!A1"/><Relationship Id="rId13" Type="http://schemas.openxmlformats.org/officeDocument/2006/relationships/hyperlink" Target="#'Legal Information'!A1"/><Relationship Id="rId3" Type="http://schemas.openxmlformats.org/officeDocument/2006/relationships/hyperlink" Target="#'Magic &amp; Psionics'!A1"/><Relationship Id="rId7" Type="http://schemas.openxmlformats.org/officeDocument/2006/relationships/hyperlink" Target="#Customize!A1"/><Relationship Id="rId12" Type="http://schemas.openxmlformats.org/officeDocument/2006/relationships/hyperlink" Target="#Instructions!A1"/><Relationship Id="rId2" Type="http://schemas.openxmlformats.org/officeDocument/2006/relationships/hyperlink" Target="#'Character Sheet'!A1"/><Relationship Id="rId1" Type="http://schemas.openxmlformats.org/officeDocument/2006/relationships/image" Target="../media/image2.png"/><Relationship Id="rId6" Type="http://schemas.openxmlformats.org/officeDocument/2006/relationships/hyperlink" Target="#'Skills Worktable'!A1"/><Relationship Id="rId11" Type="http://schemas.openxmlformats.org/officeDocument/2006/relationships/hyperlink" Target="#Cover!A1"/><Relationship Id="rId5" Type="http://schemas.openxmlformats.org/officeDocument/2006/relationships/hyperlink" Target="#Worktable!A1"/><Relationship Id="rId10" Type="http://schemas.openxmlformats.org/officeDocument/2006/relationships/hyperlink" Target="#'Printer - Combat Sheet'!A1"/><Relationship Id="rId4" Type="http://schemas.openxmlformats.org/officeDocument/2006/relationships/hyperlink" Target="#'Combat Sheet'!A1"/><Relationship Id="rId9" Type="http://schemas.openxmlformats.org/officeDocument/2006/relationships/hyperlink" Target="#'Printer - Magic &amp; Psionics'!A1"/><Relationship Id="rId14" Type="http://schemas.openxmlformats.org/officeDocument/2006/relationships/hyperlink" Target="#'Editor''s Notes'!A1"/></Relationships>
</file>

<file path=xl/drawings/_rels/drawing6.xml.rels><?xml version="1.0" encoding="UTF-8" standalone="yes"?>
<Relationships xmlns="http://schemas.openxmlformats.org/package/2006/relationships"><Relationship Id="rId8" Type="http://schemas.openxmlformats.org/officeDocument/2006/relationships/hyperlink" Target="#'Printer - Character Sheet'!A1"/><Relationship Id="rId13" Type="http://schemas.openxmlformats.org/officeDocument/2006/relationships/hyperlink" Target="#'Legal Information'!A1"/><Relationship Id="rId3" Type="http://schemas.openxmlformats.org/officeDocument/2006/relationships/hyperlink" Target="#'Magic &amp; Psionics'!A1"/><Relationship Id="rId7" Type="http://schemas.openxmlformats.org/officeDocument/2006/relationships/hyperlink" Target="#Customize!A1"/><Relationship Id="rId12" Type="http://schemas.openxmlformats.org/officeDocument/2006/relationships/hyperlink" Target="#Instructions!A1"/><Relationship Id="rId2" Type="http://schemas.openxmlformats.org/officeDocument/2006/relationships/hyperlink" Target="#'Character Sheet'!A1"/><Relationship Id="rId1" Type="http://schemas.openxmlformats.org/officeDocument/2006/relationships/image" Target="../media/image2.png"/><Relationship Id="rId6" Type="http://schemas.openxmlformats.org/officeDocument/2006/relationships/hyperlink" Target="#'Skills Worktable'!A1"/><Relationship Id="rId11" Type="http://schemas.openxmlformats.org/officeDocument/2006/relationships/hyperlink" Target="#Cover!A1"/><Relationship Id="rId5" Type="http://schemas.openxmlformats.org/officeDocument/2006/relationships/hyperlink" Target="#Worktable!A1"/><Relationship Id="rId10" Type="http://schemas.openxmlformats.org/officeDocument/2006/relationships/hyperlink" Target="#'Printer - Combat Sheet'!A1"/><Relationship Id="rId4" Type="http://schemas.openxmlformats.org/officeDocument/2006/relationships/hyperlink" Target="#'Combat Sheet'!A1"/><Relationship Id="rId9" Type="http://schemas.openxmlformats.org/officeDocument/2006/relationships/hyperlink" Target="#'Printer - Magic &amp; Psionics'!A1"/><Relationship Id="rId14" Type="http://schemas.openxmlformats.org/officeDocument/2006/relationships/hyperlink" Target="#'Editor''s Notes'!A1"/></Relationships>
</file>

<file path=xl/drawings/_rels/drawing7.xml.rels><?xml version="1.0" encoding="UTF-8" standalone="yes"?>
<Relationships xmlns="http://schemas.openxmlformats.org/package/2006/relationships"><Relationship Id="rId8" Type="http://schemas.openxmlformats.org/officeDocument/2006/relationships/hyperlink" Target="#'Printer - Character Sheet'!A1"/><Relationship Id="rId13" Type="http://schemas.openxmlformats.org/officeDocument/2006/relationships/hyperlink" Target="#'Legal Information'!A1"/><Relationship Id="rId3" Type="http://schemas.openxmlformats.org/officeDocument/2006/relationships/hyperlink" Target="#'Magic &amp; Psionics'!A1"/><Relationship Id="rId7" Type="http://schemas.openxmlformats.org/officeDocument/2006/relationships/hyperlink" Target="#Customize!A1"/><Relationship Id="rId12" Type="http://schemas.openxmlformats.org/officeDocument/2006/relationships/hyperlink" Target="#Instructions!A1"/><Relationship Id="rId2" Type="http://schemas.openxmlformats.org/officeDocument/2006/relationships/hyperlink" Target="#'Character Sheet'!A1"/><Relationship Id="rId1" Type="http://schemas.openxmlformats.org/officeDocument/2006/relationships/image" Target="../media/image2.png"/><Relationship Id="rId6" Type="http://schemas.openxmlformats.org/officeDocument/2006/relationships/hyperlink" Target="#'Skills Worktable'!A1"/><Relationship Id="rId11" Type="http://schemas.openxmlformats.org/officeDocument/2006/relationships/hyperlink" Target="#Cover!A1"/><Relationship Id="rId5" Type="http://schemas.openxmlformats.org/officeDocument/2006/relationships/hyperlink" Target="#Worktable!A1"/><Relationship Id="rId10" Type="http://schemas.openxmlformats.org/officeDocument/2006/relationships/hyperlink" Target="#'Printer - Combat Sheet'!A1"/><Relationship Id="rId4" Type="http://schemas.openxmlformats.org/officeDocument/2006/relationships/hyperlink" Target="#'Combat Sheet'!A1"/><Relationship Id="rId9" Type="http://schemas.openxmlformats.org/officeDocument/2006/relationships/hyperlink" Target="#'Printer - Magic &amp; Psionics'!A1"/><Relationship Id="rId14" Type="http://schemas.openxmlformats.org/officeDocument/2006/relationships/hyperlink" Target="#'Editor''s Notes'!A1"/></Relationships>
</file>

<file path=xl/drawings/_rels/drawing8.xml.rels><?xml version="1.0" encoding="UTF-8" standalone="yes"?>
<Relationships xmlns="http://schemas.openxmlformats.org/package/2006/relationships"><Relationship Id="rId8" Type="http://schemas.openxmlformats.org/officeDocument/2006/relationships/hyperlink" Target="#'Printer - Character Sheet'!A1"/><Relationship Id="rId13" Type="http://schemas.openxmlformats.org/officeDocument/2006/relationships/hyperlink" Target="#'Legal Information'!A1"/><Relationship Id="rId3" Type="http://schemas.openxmlformats.org/officeDocument/2006/relationships/hyperlink" Target="#'Magic &amp; Psionics'!A1"/><Relationship Id="rId7" Type="http://schemas.openxmlformats.org/officeDocument/2006/relationships/hyperlink" Target="#Customize!A1"/><Relationship Id="rId12" Type="http://schemas.openxmlformats.org/officeDocument/2006/relationships/hyperlink" Target="#Instructions!A1"/><Relationship Id="rId2" Type="http://schemas.openxmlformats.org/officeDocument/2006/relationships/hyperlink" Target="#'Character Sheet'!A1"/><Relationship Id="rId1" Type="http://schemas.openxmlformats.org/officeDocument/2006/relationships/image" Target="../media/image2.png"/><Relationship Id="rId6" Type="http://schemas.openxmlformats.org/officeDocument/2006/relationships/hyperlink" Target="#'Skills Worktable'!A1"/><Relationship Id="rId11" Type="http://schemas.openxmlformats.org/officeDocument/2006/relationships/hyperlink" Target="#Cover!A1"/><Relationship Id="rId5" Type="http://schemas.openxmlformats.org/officeDocument/2006/relationships/hyperlink" Target="#Worktable!A1"/><Relationship Id="rId10" Type="http://schemas.openxmlformats.org/officeDocument/2006/relationships/hyperlink" Target="#'Printer - Combat Sheet'!A1"/><Relationship Id="rId4" Type="http://schemas.openxmlformats.org/officeDocument/2006/relationships/hyperlink" Target="#'Combat Sheet'!A1"/><Relationship Id="rId9" Type="http://schemas.openxmlformats.org/officeDocument/2006/relationships/hyperlink" Target="#'Printer - Magic &amp; Psionics'!A1"/><Relationship Id="rId14" Type="http://schemas.openxmlformats.org/officeDocument/2006/relationships/hyperlink" Target="#'Editor''s Notes'!A1"/></Relationships>
</file>

<file path=xl/drawings/_rels/drawing9.xml.rels><?xml version="1.0" encoding="UTF-8" standalone="yes"?>
<Relationships xmlns="http://schemas.openxmlformats.org/package/2006/relationships"><Relationship Id="rId8" Type="http://schemas.openxmlformats.org/officeDocument/2006/relationships/hyperlink" Target="#'Printer - Character Sheet'!A1"/><Relationship Id="rId13" Type="http://schemas.openxmlformats.org/officeDocument/2006/relationships/hyperlink" Target="#'Legal Information'!A1"/><Relationship Id="rId3" Type="http://schemas.openxmlformats.org/officeDocument/2006/relationships/hyperlink" Target="#'Magic &amp; Psionics'!A1"/><Relationship Id="rId7" Type="http://schemas.openxmlformats.org/officeDocument/2006/relationships/hyperlink" Target="#Customize!A1"/><Relationship Id="rId12" Type="http://schemas.openxmlformats.org/officeDocument/2006/relationships/hyperlink" Target="#Instructions!A1"/><Relationship Id="rId2" Type="http://schemas.openxmlformats.org/officeDocument/2006/relationships/hyperlink" Target="#'Character Sheet'!A1"/><Relationship Id="rId1" Type="http://schemas.openxmlformats.org/officeDocument/2006/relationships/image" Target="../media/image2.png"/><Relationship Id="rId6" Type="http://schemas.openxmlformats.org/officeDocument/2006/relationships/hyperlink" Target="#'Skills Worktable'!A1"/><Relationship Id="rId11" Type="http://schemas.openxmlformats.org/officeDocument/2006/relationships/hyperlink" Target="#Cover!A1"/><Relationship Id="rId5" Type="http://schemas.openxmlformats.org/officeDocument/2006/relationships/hyperlink" Target="#Worktable!A1"/><Relationship Id="rId10" Type="http://schemas.openxmlformats.org/officeDocument/2006/relationships/hyperlink" Target="#'Printer - Combat Sheet'!A1"/><Relationship Id="rId4" Type="http://schemas.openxmlformats.org/officeDocument/2006/relationships/hyperlink" Target="#'Combat Sheet'!A1"/><Relationship Id="rId9" Type="http://schemas.openxmlformats.org/officeDocument/2006/relationships/hyperlink" Target="#'Printer - Magic &amp; Psionics'!A1"/><Relationship Id="rId14" Type="http://schemas.openxmlformats.org/officeDocument/2006/relationships/hyperlink" Target="#'Editor''s Notes'!A1"/></Relationships>
</file>

<file path=xl/drawings/drawing1.xml><?xml version="1.0" encoding="utf-8"?>
<xdr:wsDr xmlns:xdr="http://schemas.openxmlformats.org/drawingml/2006/spreadsheetDrawing" xmlns:a="http://schemas.openxmlformats.org/drawingml/2006/main">
  <xdr:twoCellAnchor>
    <xdr:from>
      <xdr:col>2</xdr:col>
      <xdr:colOff>276225</xdr:colOff>
      <xdr:row>3</xdr:row>
      <xdr:rowOff>704850</xdr:rowOff>
    </xdr:from>
    <xdr:to>
      <xdr:col>7</xdr:col>
      <xdr:colOff>164395</xdr:colOff>
      <xdr:row>7</xdr:row>
      <xdr:rowOff>152400</xdr:rowOff>
    </xdr:to>
    <xdr:pic>
      <xdr:nvPicPr>
        <xdr:cNvPr id="2" name="Picture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95425" y="762000"/>
          <a:ext cx="2936170" cy="723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57150</xdr:colOff>
      <xdr:row>0</xdr:row>
      <xdr:rowOff>57150</xdr:rowOff>
    </xdr:from>
    <xdr:to>
      <xdr:col>9</xdr:col>
      <xdr:colOff>523875</xdr:colOff>
      <xdr:row>19</xdr:row>
      <xdr:rowOff>2787</xdr:rowOff>
    </xdr:to>
    <xdr:pic>
      <xdr:nvPicPr>
        <xdr:cNvPr id="37" name="Picture 36">
          <a:extLst>
            <a:ext uri="{FF2B5EF4-FFF2-40B4-BE49-F238E27FC236}">
              <a16:creationId xmlns:a16="http://schemas.microsoft.com/office/drawing/2014/main" id="{00000000-0008-0000-0900-00002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543550" y="57150"/>
          <a:ext cx="5343525" cy="8384787"/>
        </a:xfrm>
        <a:prstGeom prst="rect">
          <a:avLst/>
        </a:prstGeom>
      </xdr:spPr>
    </xdr:pic>
    <xdr:clientData/>
  </xdr:twoCellAnchor>
  <xdr:twoCellAnchor>
    <xdr:from>
      <xdr:col>1</xdr:col>
      <xdr:colOff>114300</xdr:colOff>
      <xdr:row>2</xdr:row>
      <xdr:rowOff>762000</xdr:rowOff>
    </xdr:from>
    <xdr:to>
      <xdr:col>4</xdr:col>
      <xdr:colOff>38100</xdr:colOff>
      <xdr:row>16</xdr:row>
      <xdr:rowOff>752475</xdr:rowOff>
    </xdr:to>
    <xdr:grpSp>
      <xdr:nvGrpSpPr>
        <xdr:cNvPr id="38" name="Group 37">
          <a:extLst>
            <a:ext uri="{FF2B5EF4-FFF2-40B4-BE49-F238E27FC236}">
              <a16:creationId xmlns:a16="http://schemas.microsoft.com/office/drawing/2014/main" id="{00000000-0008-0000-0900-000026000000}"/>
            </a:ext>
          </a:extLst>
        </xdr:cNvPr>
        <xdr:cNvGrpSpPr/>
      </xdr:nvGrpSpPr>
      <xdr:grpSpPr>
        <a:xfrm>
          <a:off x="5600700" y="1009650"/>
          <a:ext cx="1752600" cy="6038850"/>
          <a:chOff x="5772150" y="990600"/>
          <a:chExt cx="1752600" cy="6038850"/>
        </a:xfrm>
      </xdr:grpSpPr>
      <xdr:sp macro="" textlink="">
        <xdr:nvSpPr>
          <xdr:cNvPr id="39" name="TextBox 38">
            <a:extLst>
              <a:ext uri="{FF2B5EF4-FFF2-40B4-BE49-F238E27FC236}">
                <a16:creationId xmlns:a16="http://schemas.microsoft.com/office/drawing/2014/main" id="{00000000-0008-0000-0900-000027000000}"/>
              </a:ext>
            </a:extLst>
          </xdr:cNvPr>
          <xdr:cNvSpPr txBox="1"/>
        </xdr:nvSpPr>
        <xdr:spPr>
          <a:xfrm>
            <a:off x="5781675" y="5915025"/>
            <a:ext cx="174307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1"/>
              <a:t>Character </a:t>
            </a:r>
            <a:r>
              <a:rPr lang="en-US" sz="1000" b="1" i="1"/>
              <a:t>(Printer</a:t>
            </a:r>
            <a:r>
              <a:rPr lang="en-US" sz="1000" b="1" i="1" baseline="0"/>
              <a:t> Friendly)</a:t>
            </a:r>
            <a:r>
              <a:rPr lang="en-US" sz="1100" b="1" i="1"/>
              <a:t>:</a:t>
            </a:r>
          </a:p>
        </xdr:txBody>
      </xdr:sp>
      <xdr:sp macro="" textlink="">
        <xdr:nvSpPr>
          <xdr:cNvPr id="40" name="TextBox 39">
            <a:extLst>
              <a:ext uri="{FF2B5EF4-FFF2-40B4-BE49-F238E27FC236}">
                <a16:creationId xmlns:a16="http://schemas.microsoft.com/office/drawing/2014/main" id="{00000000-0008-0000-0900-000028000000}"/>
              </a:ext>
            </a:extLst>
          </xdr:cNvPr>
          <xdr:cNvSpPr txBox="1"/>
        </xdr:nvSpPr>
        <xdr:spPr>
          <a:xfrm>
            <a:off x="5781675" y="4629150"/>
            <a:ext cx="174307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1"/>
              <a:t>Character Building:</a:t>
            </a:r>
          </a:p>
        </xdr:txBody>
      </xdr:sp>
      <xdr:sp macro="" textlink="">
        <xdr:nvSpPr>
          <xdr:cNvPr id="41" name="TextBox 40">
            <a:extLst>
              <a:ext uri="{FF2B5EF4-FFF2-40B4-BE49-F238E27FC236}">
                <a16:creationId xmlns:a16="http://schemas.microsoft.com/office/drawing/2014/main" id="{00000000-0008-0000-0900-000029000000}"/>
              </a:ext>
            </a:extLst>
          </xdr:cNvPr>
          <xdr:cNvSpPr txBox="1"/>
        </xdr:nvSpPr>
        <xdr:spPr>
          <a:xfrm>
            <a:off x="5772150" y="2590800"/>
            <a:ext cx="174307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1"/>
              <a:t>Character</a:t>
            </a:r>
            <a:r>
              <a:rPr lang="en-US" sz="1100" b="1" i="1" baseline="0"/>
              <a:t> Information</a:t>
            </a:r>
            <a:r>
              <a:rPr lang="en-US" sz="1100" b="1" i="1"/>
              <a:t>:</a:t>
            </a:r>
          </a:p>
        </xdr:txBody>
      </xdr:sp>
      <xdr:sp macro="" textlink="">
        <xdr:nvSpPr>
          <xdr:cNvPr id="42" name="TextBox 41">
            <a:hlinkClick xmlns:r="http://schemas.openxmlformats.org/officeDocument/2006/relationships" r:id="rId2"/>
            <a:extLst>
              <a:ext uri="{FF2B5EF4-FFF2-40B4-BE49-F238E27FC236}">
                <a16:creationId xmlns:a16="http://schemas.microsoft.com/office/drawing/2014/main" id="{00000000-0008-0000-0900-00002A000000}"/>
              </a:ext>
            </a:extLst>
          </xdr:cNvPr>
          <xdr:cNvSpPr txBox="1"/>
        </xdr:nvSpPr>
        <xdr:spPr>
          <a:xfrm>
            <a:off x="5772150" y="2867025"/>
            <a:ext cx="174307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u="sng">
                <a:solidFill>
                  <a:srgbClr val="0594FF"/>
                </a:solidFill>
              </a:rPr>
              <a:t>Character Sheet </a:t>
            </a:r>
            <a:r>
              <a:rPr lang="en-US" sz="1000" b="0" u="sng">
                <a:solidFill>
                  <a:srgbClr val="0594FF"/>
                </a:solidFill>
              </a:rPr>
              <a:t>(main)</a:t>
            </a:r>
          </a:p>
        </xdr:txBody>
      </xdr:sp>
      <xdr:sp macro="" textlink="">
        <xdr:nvSpPr>
          <xdr:cNvPr id="43" name="TextBox 42">
            <a:hlinkClick xmlns:r="http://schemas.openxmlformats.org/officeDocument/2006/relationships" r:id="rId3"/>
            <a:extLst>
              <a:ext uri="{FF2B5EF4-FFF2-40B4-BE49-F238E27FC236}">
                <a16:creationId xmlns:a16="http://schemas.microsoft.com/office/drawing/2014/main" id="{00000000-0008-0000-0900-00002B000000}"/>
              </a:ext>
            </a:extLst>
          </xdr:cNvPr>
          <xdr:cNvSpPr txBox="1"/>
        </xdr:nvSpPr>
        <xdr:spPr>
          <a:xfrm>
            <a:off x="5772150" y="3143250"/>
            <a:ext cx="174307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u="sng">
                <a:solidFill>
                  <a:srgbClr val="0594FF"/>
                </a:solidFill>
              </a:rPr>
              <a:t>Magic &amp; Psionics</a:t>
            </a:r>
          </a:p>
        </xdr:txBody>
      </xdr:sp>
      <xdr:sp macro="" textlink="">
        <xdr:nvSpPr>
          <xdr:cNvPr id="44" name="TextBox 43">
            <a:hlinkClick xmlns:r="http://schemas.openxmlformats.org/officeDocument/2006/relationships" r:id="rId4"/>
            <a:extLst>
              <a:ext uri="{FF2B5EF4-FFF2-40B4-BE49-F238E27FC236}">
                <a16:creationId xmlns:a16="http://schemas.microsoft.com/office/drawing/2014/main" id="{00000000-0008-0000-0900-00002C000000}"/>
              </a:ext>
            </a:extLst>
          </xdr:cNvPr>
          <xdr:cNvSpPr txBox="1"/>
        </xdr:nvSpPr>
        <xdr:spPr>
          <a:xfrm>
            <a:off x="5772150" y="3419475"/>
            <a:ext cx="174307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u="sng">
                <a:solidFill>
                  <a:srgbClr val="0594FF"/>
                </a:solidFill>
              </a:rPr>
              <a:t>Combat Sheet</a:t>
            </a:r>
          </a:p>
        </xdr:txBody>
      </xdr:sp>
      <xdr:sp macro="" textlink="">
        <xdr:nvSpPr>
          <xdr:cNvPr id="45" name="TextBox 44">
            <a:hlinkClick xmlns:r="http://schemas.openxmlformats.org/officeDocument/2006/relationships" r:id="rId5"/>
            <a:extLst>
              <a:ext uri="{FF2B5EF4-FFF2-40B4-BE49-F238E27FC236}">
                <a16:creationId xmlns:a16="http://schemas.microsoft.com/office/drawing/2014/main" id="{00000000-0008-0000-0900-00002D000000}"/>
              </a:ext>
            </a:extLst>
          </xdr:cNvPr>
          <xdr:cNvSpPr txBox="1"/>
        </xdr:nvSpPr>
        <xdr:spPr>
          <a:xfrm>
            <a:off x="5781675" y="4905375"/>
            <a:ext cx="174307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u="sng">
                <a:solidFill>
                  <a:srgbClr val="0594FF"/>
                </a:solidFill>
              </a:rPr>
              <a:t>Worktable </a:t>
            </a:r>
            <a:r>
              <a:rPr lang="en-US" sz="1000" b="0" u="sng">
                <a:solidFill>
                  <a:srgbClr val="0594FF"/>
                </a:solidFill>
              </a:rPr>
              <a:t>(Scratch Paper)</a:t>
            </a:r>
          </a:p>
        </xdr:txBody>
      </xdr:sp>
      <xdr:sp macro="" textlink="">
        <xdr:nvSpPr>
          <xdr:cNvPr id="46" name="TextBox 45">
            <a:hlinkClick xmlns:r="http://schemas.openxmlformats.org/officeDocument/2006/relationships" r:id="rId6"/>
            <a:extLst>
              <a:ext uri="{FF2B5EF4-FFF2-40B4-BE49-F238E27FC236}">
                <a16:creationId xmlns:a16="http://schemas.microsoft.com/office/drawing/2014/main" id="{00000000-0008-0000-0900-00002E000000}"/>
              </a:ext>
            </a:extLst>
          </xdr:cNvPr>
          <xdr:cNvSpPr txBox="1"/>
        </xdr:nvSpPr>
        <xdr:spPr>
          <a:xfrm>
            <a:off x="5781675" y="5181600"/>
            <a:ext cx="174307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u="sng">
                <a:solidFill>
                  <a:srgbClr val="0594FF"/>
                </a:solidFill>
              </a:rPr>
              <a:t>Skills Selection</a:t>
            </a:r>
          </a:p>
        </xdr:txBody>
      </xdr:sp>
      <xdr:sp macro="" textlink="">
        <xdr:nvSpPr>
          <xdr:cNvPr id="47" name="TextBox 46">
            <a:hlinkClick xmlns:r="http://schemas.openxmlformats.org/officeDocument/2006/relationships" r:id="rId7"/>
            <a:extLst>
              <a:ext uri="{FF2B5EF4-FFF2-40B4-BE49-F238E27FC236}">
                <a16:creationId xmlns:a16="http://schemas.microsoft.com/office/drawing/2014/main" id="{00000000-0008-0000-0900-00002F000000}"/>
              </a:ext>
            </a:extLst>
          </xdr:cNvPr>
          <xdr:cNvSpPr txBox="1"/>
        </xdr:nvSpPr>
        <xdr:spPr>
          <a:xfrm>
            <a:off x="5781675" y="5457825"/>
            <a:ext cx="174307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u="sng">
                <a:solidFill>
                  <a:srgbClr val="0594FF"/>
                </a:solidFill>
              </a:rPr>
              <a:t>Customize</a:t>
            </a:r>
          </a:p>
        </xdr:txBody>
      </xdr:sp>
      <xdr:sp macro="" textlink="">
        <xdr:nvSpPr>
          <xdr:cNvPr id="48" name="TextBox 47">
            <a:hlinkClick xmlns:r="http://schemas.openxmlformats.org/officeDocument/2006/relationships" r:id="rId8"/>
            <a:extLst>
              <a:ext uri="{FF2B5EF4-FFF2-40B4-BE49-F238E27FC236}">
                <a16:creationId xmlns:a16="http://schemas.microsoft.com/office/drawing/2014/main" id="{00000000-0008-0000-0900-000030000000}"/>
              </a:ext>
            </a:extLst>
          </xdr:cNvPr>
          <xdr:cNvSpPr txBox="1"/>
        </xdr:nvSpPr>
        <xdr:spPr>
          <a:xfrm>
            <a:off x="5781675" y="6200775"/>
            <a:ext cx="174307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u="sng">
                <a:solidFill>
                  <a:srgbClr val="0594FF"/>
                </a:solidFill>
              </a:rPr>
              <a:t>Character Sheet </a:t>
            </a:r>
            <a:r>
              <a:rPr lang="en-US" sz="1000" b="0" u="sng">
                <a:solidFill>
                  <a:srgbClr val="0594FF"/>
                </a:solidFill>
              </a:rPr>
              <a:t>(main)</a:t>
            </a:r>
          </a:p>
        </xdr:txBody>
      </xdr:sp>
      <xdr:sp macro="" textlink="">
        <xdr:nvSpPr>
          <xdr:cNvPr id="49" name="TextBox 48">
            <a:hlinkClick xmlns:r="http://schemas.openxmlformats.org/officeDocument/2006/relationships" r:id="rId9"/>
            <a:extLst>
              <a:ext uri="{FF2B5EF4-FFF2-40B4-BE49-F238E27FC236}">
                <a16:creationId xmlns:a16="http://schemas.microsoft.com/office/drawing/2014/main" id="{00000000-0008-0000-0900-000031000000}"/>
              </a:ext>
            </a:extLst>
          </xdr:cNvPr>
          <xdr:cNvSpPr txBox="1"/>
        </xdr:nvSpPr>
        <xdr:spPr>
          <a:xfrm>
            <a:off x="5781675" y="6486525"/>
            <a:ext cx="174307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u="sng">
                <a:solidFill>
                  <a:srgbClr val="0594FF"/>
                </a:solidFill>
              </a:rPr>
              <a:t>Magic &amp; Psionics</a:t>
            </a:r>
          </a:p>
        </xdr:txBody>
      </xdr:sp>
      <xdr:sp macro="" textlink="">
        <xdr:nvSpPr>
          <xdr:cNvPr id="50" name="TextBox 49">
            <a:hlinkClick xmlns:r="http://schemas.openxmlformats.org/officeDocument/2006/relationships" r:id="rId10"/>
            <a:extLst>
              <a:ext uri="{FF2B5EF4-FFF2-40B4-BE49-F238E27FC236}">
                <a16:creationId xmlns:a16="http://schemas.microsoft.com/office/drawing/2014/main" id="{00000000-0008-0000-0900-000032000000}"/>
              </a:ext>
            </a:extLst>
          </xdr:cNvPr>
          <xdr:cNvSpPr txBox="1"/>
        </xdr:nvSpPr>
        <xdr:spPr>
          <a:xfrm>
            <a:off x="5781675" y="6772275"/>
            <a:ext cx="174307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u="sng">
                <a:solidFill>
                  <a:srgbClr val="0594FF"/>
                </a:solidFill>
              </a:rPr>
              <a:t>Combat Sheet</a:t>
            </a:r>
          </a:p>
        </xdr:txBody>
      </xdr:sp>
      <xdr:sp macro="" textlink="">
        <xdr:nvSpPr>
          <xdr:cNvPr id="51" name="TextBox 50">
            <a:extLst>
              <a:ext uri="{FF2B5EF4-FFF2-40B4-BE49-F238E27FC236}">
                <a16:creationId xmlns:a16="http://schemas.microsoft.com/office/drawing/2014/main" id="{00000000-0008-0000-0900-000033000000}"/>
              </a:ext>
            </a:extLst>
          </xdr:cNvPr>
          <xdr:cNvSpPr txBox="1"/>
        </xdr:nvSpPr>
        <xdr:spPr>
          <a:xfrm>
            <a:off x="5781675" y="990600"/>
            <a:ext cx="174307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1"/>
              <a:t>Introduction:</a:t>
            </a:r>
          </a:p>
        </xdr:txBody>
      </xdr:sp>
      <xdr:sp macro="" textlink="">
        <xdr:nvSpPr>
          <xdr:cNvPr id="52" name="TextBox 51">
            <a:hlinkClick xmlns:r="http://schemas.openxmlformats.org/officeDocument/2006/relationships" r:id="rId11"/>
            <a:extLst>
              <a:ext uri="{FF2B5EF4-FFF2-40B4-BE49-F238E27FC236}">
                <a16:creationId xmlns:a16="http://schemas.microsoft.com/office/drawing/2014/main" id="{00000000-0008-0000-0900-000034000000}"/>
              </a:ext>
            </a:extLst>
          </xdr:cNvPr>
          <xdr:cNvSpPr txBox="1"/>
        </xdr:nvSpPr>
        <xdr:spPr>
          <a:xfrm>
            <a:off x="5781675" y="1266825"/>
            <a:ext cx="174307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u="sng">
                <a:solidFill>
                  <a:srgbClr val="0594FF"/>
                </a:solidFill>
              </a:rPr>
              <a:t>Cover Page</a:t>
            </a:r>
          </a:p>
        </xdr:txBody>
      </xdr:sp>
      <xdr:sp macro="" textlink="">
        <xdr:nvSpPr>
          <xdr:cNvPr id="53" name="TextBox 52">
            <a:hlinkClick xmlns:r="http://schemas.openxmlformats.org/officeDocument/2006/relationships" r:id="rId12"/>
            <a:extLst>
              <a:ext uri="{FF2B5EF4-FFF2-40B4-BE49-F238E27FC236}">
                <a16:creationId xmlns:a16="http://schemas.microsoft.com/office/drawing/2014/main" id="{00000000-0008-0000-0900-000035000000}"/>
              </a:ext>
            </a:extLst>
          </xdr:cNvPr>
          <xdr:cNvSpPr txBox="1"/>
        </xdr:nvSpPr>
        <xdr:spPr>
          <a:xfrm>
            <a:off x="5781675" y="1543050"/>
            <a:ext cx="174307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u="sng">
                <a:solidFill>
                  <a:srgbClr val="0594FF"/>
                </a:solidFill>
              </a:rPr>
              <a:t>Instructions</a:t>
            </a:r>
          </a:p>
        </xdr:txBody>
      </xdr:sp>
      <xdr:sp macro="" textlink="">
        <xdr:nvSpPr>
          <xdr:cNvPr id="54" name="TextBox 53">
            <a:hlinkClick xmlns:r="http://schemas.openxmlformats.org/officeDocument/2006/relationships" r:id="rId13"/>
            <a:extLst>
              <a:ext uri="{FF2B5EF4-FFF2-40B4-BE49-F238E27FC236}">
                <a16:creationId xmlns:a16="http://schemas.microsoft.com/office/drawing/2014/main" id="{00000000-0008-0000-0900-000036000000}"/>
              </a:ext>
            </a:extLst>
          </xdr:cNvPr>
          <xdr:cNvSpPr txBox="1"/>
        </xdr:nvSpPr>
        <xdr:spPr>
          <a:xfrm>
            <a:off x="5781675" y="1819275"/>
            <a:ext cx="174307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u="sng">
                <a:solidFill>
                  <a:srgbClr val="0594FF"/>
                </a:solidFill>
              </a:rPr>
              <a:t>Legal Information</a:t>
            </a:r>
          </a:p>
        </xdr:txBody>
      </xdr:sp>
      <xdr:sp macro="" textlink="">
        <xdr:nvSpPr>
          <xdr:cNvPr id="55" name="TextBox 54">
            <a:hlinkClick xmlns:r="http://schemas.openxmlformats.org/officeDocument/2006/relationships" r:id="rId14"/>
            <a:extLst>
              <a:ext uri="{FF2B5EF4-FFF2-40B4-BE49-F238E27FC236}">
                <a16:creationId xmlns:a16="http://schemas.microsoft.com/office/drawing/2014/main" id="{00000000-0008-0000-0900-000037000000}"/>
              </a:ext>
            </a:extLst>
          </xdr:cNvPr>
          <xdr:cNvSpPr txBox="1"/>
        </xdr:nvSpPr>
        <xdr:spPr>
          <a:xfrm>
            <a:off x="5781675" y="2095500"/>
            <a:ext cx="174307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u="sng">
                <a:solidFill>
                  <a:srgbClr val="0594FF"/>
                </a:solidFill>
              </a:rPr>
              <a:t>Editor's Notes</a:t>
            </a:r>
          </a:p>
        </xdr:txBody>
      </xdr:sp>
    </xdr:grpSp>
    <xdr:clientData/>
  </xdr:twoCellAnchor>
</xdr:wsDr>
</file>

<file path=xl/drawings/drawing11.xml><?xml version="1.0" encoding="utf-8"?>
<xdr:wsDr xmlns:xdr="http://schemas.openxmlformats.org/drawingml/2006/spreadsheetDrawing" xmlns:a="http://schemas.openxmlformats.org/drawingml/2006/main">
  <xdr:twoCellAnchor>
    <xdr:from>
      <xdr:col>17</xdr:col>
      <xdr:colOff>381000</xdr:colOff>
      <xdr:row>5</xdr:row>
      <xdr:rowOff>114300</xdr:rowOff>
    </xdr:from>
    <xdr:to>
      <xdr:col>18</xdr:col>
      <xdr:colOff>0</xdr:colOff>
      <xdr:row>6</xdr:row>
      <xdr:rowOff>133350</xdr:rowOff>
    </xdr:to>
    <xdr:sp macro="" textlink="">
      <xdr:nvSpPr>
        <xdr:cNvPr id="2" name="TextBox 1">
          <a:extLst>
            <a:ext uri="{FF2B5EF4-FFF2-40B4-BE49-F238E27FC236}">
              <a16:creationId xmlns:a16="http://schemas.microsoft.com/office/drawing/2014/main" id="{00000000-0008-0000-0A00-000002000000}"/>
            </a:ext>
          </a:extLst>
        </xdr:cNvPr>
        <xdr:cNvSpPr txBox="1"/>
      </xdr:nvSpPr>
      <xdr:spPr>
        <a:xfrm>
          <a:off x="6381750" y="904875"/>
          <a:ext cx="19050" cy="1809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1"/>
            <a:t>Introduction:</a:t>
          </a:r>
        </a:p>
      </xdr:txBody>
    </xdr:sp>
    <xdr:clientData/>
  </xdr:twoCellAnchor>
  <xdr:twoCellAnchor>
    <xdr:from>
      <xdr:col>17</xdr:col>
      <xdr:colOff>390524</xdr:colOff>
      <xdr:row>11</xdr:row>
      <xdr:rowOff>0</xdr:rowOff>
    </xdr:from>
    <xdr:to>
      <xdr:col>18</xdr:col>
      <xdr:colOff>0</xdr:colOff>
      <xdr:row>13</xdr:row>
      <xdr:rowOff>0</xdr:rowOff>
    </xdr:to>
    <xdr:sp macro="" textlink="">
      <xdr:nvSpPr>
        <xdr:cNvPr id="3" name="TextBox 2">
          <a:extLst>
            <a:ext uri="{FF2B5EF4-FFF2-40B4-BE49-F238E27FC236}">
              <a16:creationId xmlns:a16="http://schemas.microsoft.com/office/drawing/2014/main" id="{00000000-0008-0000-0A00-000003000000}"/>
            </a:ext>
          </a:extLst>
        </xdr:cNvPr>
        <xdr:cNvSpPr txBox="1"/>
      </xdr:nvSpPr>
      <xdr:spPr>
        <a:xfrm>
          <a:off x="6391274" y="1762125"/>
          <a:ext cx="9526"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1"/>
            <a:t>Character Information:</a:t>
          </a:r>
        </a:p>
      </xdr:txBody>
    </xdr:sp>
    <xdr:clientData/>
  </xdr:twoCellAnchor>
  <xdr:twoCellAnchor>
    <xdr:from>
      <xdr:col>17</xdr:col>
      <xdr:colOff>381000</xdr:colOff>
      <xdr:row>5</xdr:row>
      <xdr:rowOff>114300</xdr:rowOff>
    </xdr:from>
    <xdr:to>
      <xdr:col>18</xdr:col>
      <xdr:colOff>0</xdr:colOff>
      <xdr:row>6</xdr:row>
      <xdr:rowOff>133350</xdr:rowOff>
    </xdr:to>
    <xdr:sp macro="" textlink="">
      <xdr:nvSpPr>
        <xdr:cNvPr id="4" name="TextBox 3">
          <a:extLst>
            <a:ext uri="{FF2B5EF4-FFF2-40B4-BE49-F238E27FC236}">
              <a16:creationId xmlns:a16="http://schemas.microsoft.com/office/drawing/2014/main" id="{00000000-0008-0000-0A00-000004000000}"/>
            </a:ext>
          </a:extLst>
        </xdr:cNvPr>
        <xdr:cNvSpPr txBox="1"/>
      </xdr:nvSpPr>
      <xdr:spPr>
        <a:xfrm>
          <a:off x="6381750" y="904875"/>
          <a:ext cx="19050" cy="1809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1"/>
            <a:t>Introduction:</a:t>
          </a:r>
        </a:p>
      </xdr:txBody>
    </xdr:sp>
    <xdr:clientData/>
  </xdr:twoCellAnchor>
  <xdr:twoCellAnchor>
    <xdr:from>
      <xdr:col>17</xdr:col>
      <xdr:colOff>390524</xdr:colOff>
      <xdr:row>11</xdr:row>
      <xdr:rowOff>0</xdr:rowOff>
    </xdr:from>
    <xdr:to>
      <xdr:col>18</xdr:col>
      <xdr:colOff>0</xdr:colOff>
      <xdr:row>13</xdr:row>
      <xdr:rowOff>0</xdr:rowOff>
    </xdr:to>
    <xdr:sp macro="" textlink="">
      <xdr:nvSpPr>
        <xdr:cNvPr id="5" name="TextBox 4">
          <a:extLst>
            <a:ext uri="{FF2B5EF4-FFF2-40B4-BE49-F238E27FC236}">
              <a16:creationId xmlns:a16="http://schemas.microsoft.com/office/drawing/2014/main" id="{00000000-0008-0000-0A00-000005000000}"/>
            </a:ext>
          </a:extLst>
        </xdr:cNvPr>
        <xdr:cNvSpPr txBox="1"/>
      </xdr:nvSpPr>
      <xdr:spPr>
        <a:xfrm>
          <a:off x="6391274" y="1762125"/>
          <a:ext cx="9526"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1"/>
            <a:t>Character Information:</a:t>
          </a:r>
        </a:p>
      </xdr:txBody>
    </xdr:sp>
    <xdr:clientData/>
  </xdr:twoCellAnchor>
  <xdr:twoCellAnchor editAs="oneCell">
    <xdr:from>
      <xdr:col>17</xdr:col>
      <xdr:colOff>57150</xdr:colOff>
      <xdr:row>0</xdr:row>
      <xdr:rowOff>57150</xdr:rowOff>
    </xdr:from>
    <xdr:to>
      <xdr:col>26</xdr:col>
      <xdr:colOff>552450</xdr:colOff>
      <xdr:row>58</xdr:row>
      <xdr:rowOff>104167</xdr:rowOff>
    </xdr:to>
    <xdr:pic>
      <xdr:nvPicPr>
        <xdr:cNvPr id="6" name="Picture 5">
          <a:extLst>
            <a:ext uri="{FF2B5EF4-FFF2-40B4-BE49-F238E27FC236}">
              <a16:creationId xmlns:a16="http://schemas.microsoft.com/office/drawing/2014/main" id="{00000000-0008-0000-0A00-000006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57900" y="57150"/>
          <a:ext cx="5772150" cy="8848117"/>
        </a:xfrm>
        <a:prstGeom prst="rect">
          <a:avLst/>
        </a:prstGeom>
      </xdr:spPr>
    </xdr:pic>
    <xdr:clientData/>
  </xdr:twoCellAnchor>
  <xdr:twoCellAnchor>
    <xdr:from>
      <xdr:col>17</xdr:col>
      <xdr:colOff>114300</xdr:colOff>
      <xdr:row>6</xdr:row>
      <xdr:rowOff>104775</xdr:rowOff>
    </xdr:from>
    <xdr:to>
      <xdr:col>20</xdr:col>
      <xdr:colOff>247650</xdr:colOff>
      <xdr:row>46</xdr:row>
      <xdr:rowOff>47625</xdr:rowOff>
    </xdr:to>
    <xdr:grpSp>
      <xdr:nvGrpSpPr>
        <xdr:cNvPr id="7" name="Group 6">
          <a:extLst>
            <a:ext uri="{FF2B5EF4-FFF2-40B4-BE49-F238E27FC236}">
              <a16:creationId xmlns:a16="http://schemas.microsoft.com/office/drawing/2014/main" id="{00000000-0008-0000-0A00-000007000000}"/>
            </a:ext>
          </a:extLst>
        </xdr:cNvPr>
        <xdr:cNvGrpSpPr/>
      </xdr:nvGrpSpPr>
      <xdr:grpSpPr>
        <a:xfrm>
          <a:off x="6115050" y="1057275"/>
          <a:ext cx="1752600" cy="6038850"/>
          <a:chOff x="5772150" y="990600"/>
          <a:chExt cx="1752600" cy="6038850"/>
        </a:xfrm>
      </xdr:grpSpPr>
      <xdr:sp macro="" textlink="">
        <xdr:nvSpPr>
          <xdr:cNvPr id="8" name="TextBox 7">
            <a:extLst>
              <a:ext uri="{FF2B5EF4-FFF2-40B4-BE49-F238E27FC236}">
                <a16:creationId xmlns:a16="http://schemas.microsoft.com/office/drawing/2014/main" id="{00000000-0008-0000-0A00-000008000000}"/>
              </a:ext>
            </a:extLst>
          </xdr:cNvPr>
          <xdr:cNvSpPr txBox="1"/>
        </xdr:nvSpPr>
        <xdr:spPr>
          <a:xfrm>
            <a:off x="5781675" y="5915025"/>
            <a:ext cx="174307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1"/>
              <a:t>Character </a:t>
            </a:r>
            <a:r>
              <a:rPr lang="en-US" sz="1000" b="1" i="1"/>
              <a:t>(Printer</a:t>
            </a:r>
            <a:r>
              <a:rPr lang="en-US" sz="1000" b="1" i="1" baseline="0"/>
              <a:t> Friendly)</a:t>
            </a:r>
            <a:r>
              <a:rPr lang="en-US" sz="1100" b="1" i="1"/>
              <a:t>:</a:t>
            </a:r>
          </a:p>
        </xdr:txBody>
      </xdr:sp>
      <xdr:sp macro="" textlink="">
        <xdr:nvSpPr>
          <xdr:cNvPr id="9" name="TextBox 8">
            <a:extLst>
              <a:ext uri="{FF2B5EF4-FFF2-40B4-BE49-F238E27FC236}">
                <a16:creationId xmlns:a16="http://schemas.microsoft.com/office/drawing/2014/main" id="{00000000-0008-0000-0A00-000009000000}"/>
              </a:ext>
            </a:extLst>
          </xdr:cNvPr>
          <xdr:cNvSpPr txBox="1"/>
        </xdr:nvSpPr>
        <xdr:spPr>
          <a:xfrm>
            <a:off x="5781675" y="4629150"/>
            <a:ext cx="174307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1"/>
              <a:t>Character Building:</a:t>
            </a:r>
          </a:p>
        </xdr:txBody>
      </xdr:sp>
      <xdr:sp macro="" textlink="">
        <xdr:nvSpPr>
          <xdr:cNvPr id="10" name="TextBox 9">
            <a:extLst>
              <a:ext uri="{FF2B5EF4-FFF2-40B4-BE49-F238E27FC236}">
                <a16:creationId xmlns:a16="http://schemas.microsoft.com/office/drawing/2014/main" id="{00000000-0008-0000-0A00-00000A000000}"/>
              </a:ext>
            </a:extLst>
          </xdr:cNvPr>
          <xdr:cNvSpPr txBox="1"/>
        </xdr:nvSpPr>
        <xdr:spPr>
          <a:xfrm>
            <a:off x="5772150" y="2590800"/>
            <a:ext cx="174307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1"/>
              <a:t>Character</a:t>
            </a:r>
            <a:r>
              <a:rPr lang="en-US" sz="1100" b="1" i="1" baseline="0"/>
              <a:t> Information</a:t>
            </a:r>
            <a:r>
              <a:rPr lang="en-US" sz="1100" b="1" i="1"/>
              <a:t>:</a:t>
            </a:r>
          </a:p>
        </xdr:txBody>
      </xdr:sp>
      <xdr:sp macro="" textlink="">
        <xdr:nvSpPr>
          <xdr:cNvPr id="11" name="TextBox 10">
            <a:hlinkClick xmlns:r="http://schemas.openxmlformats.org/officeDocument/2006/relationships" r:id="rId2"/>
            <a:extLst>
              <a:ext uri="{FF2B5EF4-FFF2-40B4-BE49-F238E27FC236}">
                <a16:creationId xmlns:a16="http://schemas.microsoft.com/office/drawing/2014/main" id="{00000000-0008-0000-0A00-00000B000000}"/>
              </a:ext>
            </a:extLst>
          </xdr:cNvPr>
          <xdr:cNvSpPr txBox="1"/>
        </xdr:nvSpPr>
        <xdr:spPr>
          <a:xfrm>
            <a:off x="5772150" y="2867025"/>
            <a:ext cx="174307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u="sng">
                <a:solidFill>
                  <a:srgbClr val="0594FF"/>
                </a:solidFill>
              </a:rPr>
              <a:t>Character Sheet </a:t>
            </a:r>
            <a:r>
              <a:rPr lang="en-US" sz="1000" b="0" u="sng">
                <a:solidFill>
                  <a:srgbClr val="0594FF"/>
                </a:solidFill>
              </a:rPr>
              <a:t>(main)</a:t>
            </a:r>
          </a:p>
        </xdr:txBody>
      </xdr:sp>
      <xdr:sp macro="" textlink="">
        <xdr:nvSpPr>
          <xdr:cNvPr id="12" name="TextBox 11">
            <a:hlinkClick xmlns:r="http://schemas.openxmlformats.org/officeDocument/2006/relationships" r:id="rId3"/>
            <a:extLst>
              <a:ext uri="{FF2B5EF4-FFF2-40B4-BE49-F238E27FC236}">
                <a16:creationId xmlns:a16="http://schemas.microsoft.com/office/drawing/2014/main" id="{00000000-0008-0000-0A00-00000C000000}"/>
              </a:ext>
            </a:extLst>
          </xdr:cNvPr>
          <xdr:cNvSpPr txBox="1"/>
        </xdr:nvSpPr>
        <xdr:spPr>
          <a:xfrm>
            <a:off x="5772150" y="3143250"/>
            <a:ext cx="174307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u="sng">
                <a:solidFill>
                  <a:srgbClr val="0594FF"/>
                </a:solidFill>
              </a:rPr>
              <a:t>Magic &amp; Psionics</a:t>
            </a:r>
          </a:p>
        </xdr:txBody>
      </xdr:sp>
      <xdr:sp macro="" textlink="">
        <xdr:nvSpPr>
          <xdr:cNvPr id="13" name="TextBox 12">
            <a:hlinkClick xmlns:r="http://schemas.openxmlformats.org/officeDocument/2006/relationships" r:id="rId4"/>
            <a:extLst>
              <a:ext uri="{FF2B5EF4-FFF2-40B4-BE49-F238E27FC236}">
                <a16:creationId xmlns:a16="http://schemas.microsoft.com/office/drawing/2014/main" id="{00000000-0008-0000-0A00-00000D000000}"/>
              </a:ext>
            </a:extLst>
          </xdr:cNvPr>
          <xdr:cNvSpPr txBox="1"/>
        </xdr:nvSpPr>
        <xdr:spPr>
          <a:xfrm>
            <a:off x="5772150" y="3419475"/>
            <a:ext cx="174307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u="sng">
                <a:solidFill>
                  <a:srgbClr val="0594FF"/>
                </a:solidFill>
              </a:rPr>
              <a:t>Combat Sheet</a:t>
            </a:r>
          </a:p>
        </xdr:txBody>
      </xdr:sp>
      <xdr:sp macro="" textlink="">
        <xdr:nvSpPr>
          <xdr:cNvPr id="14" name="TextBox 13">
            <a:hlinkClick xmlns:r="http://schemas.openxmlformats.org/officeDocument/2006/relationships" r:id="rId5"/>
            <a:extLst>
              <a:ext uri="{FF2B5EF4-FFF2-40B4-BE49-F238E27FC236}">
                <a16:creationId xmlns:a16="http://schemas.microsoft.com/office/drawing/2014/main" id="{00000000-0008-0000-0A00-00000E000000}"/>
              </a:ext>
            </a:extLst>
          </xdr:cNvPr>
          <xdr:cNvSpPr txBox="1"/>
        </xdr:nvSpPr>
        <xdr:spPr>
          <a:xfrm>
            <a:off x="5781675" y="4905375"/>
            <a:ext cx="174307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u="sng">
                <a:solidFill>
                  <a:srgbClr val="0594FF"/>
                </a:solidFill>
              </a:rPr>
              <a:t>Worktable </a:t>
            </a:r>
            <a:r>
              <a:rPr lang="en-US" sz="1000" b="0" u="sng">
                <a:solidFill>
                  <a:srgbClr val="0594FF"/>
                </a:solidFill>
              </a:rPr>
              <a:t>(Scratch Paper)</a:t>
            </a:r>
          </a:p>
        </xdr:txBody>
      </xdr:sp>
      <xdr:sp macro="" textlink="">
        <xdr:nvSpPr>
          <xdr:cNvPr id="15" name="TextBox 14">
            <a:hlinkClick xmlns:r="http://schemas.openxmlformats.org/officeDocument/2006/relationships" r:id="rId6"/>
            <a:extLst>
              <a:ext uri="{FF2B5EF4-FFF2-40B4-BE49-F238E27FC236}">
                <a16:creationId xmlns:a16="http://schemas.microsoft.com/office/drawing/2014/main" id="{00000000-0008-0000-0A00-00000F000000}"/>
              </a:ext>
            </a:extLst>
          </xdr:cNvPr>
          <xdr:cNvSpPr txBox="1"/>
        </xdr:nvSpPr>
        <xdr:spPr>
          <a:xfrm>
            <a:off x="5781675" y="5181600"/>
            <a:ext cx="174307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u="sng">
                <a:solidFill>
                  <a:srgbClr val="0594FF"/>
                </a:solidFill>
              </a:rPr>
              <a:t>Skills Selection</a:t>
            </a:r>
          </a:p>
        </xdr:txBody>
      </xdr:sp>
      <xdr:sp macro="" textlink="">
        <xdr:nvSpPr>
          <xdr:cNvPr id="16" name="TextBox 15">
            <a:hlinkClick xmlns:r="http://schemas.openxmlformats.org/officeDocument/2006/relationships" r:id="rId7"/>
            <a:extLst>
              <a:ext uri="{FF2B5EF4-FFF2-40B4-BE49-F238E27FC236}">
                <a16:creationId xmlns:a16="http://schemas.microsoft.com/office/drawing/2014/main" id="{00000000-0008-0000-0A00-000010000000}"/>
              </a:ext>
            </a:extLst>
          </xdr:cNvPr>
          <xdr:cNvSpPr txBox="1"/>
        </xdr:nvSpPr>
        <xdr:spPr>
          <a:xfrm>
            <a:off x="5781675" y="5457825"/>
            <a:ext cx="174307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u="sng">
                <a:solidFill>
                  <a:srgbClr val="0594FF"/>
                </a:solidFill>
              </a:rPr>
              <a:t>Customize</a:t>
            </a:r>
          </a:p>
        </xdr:txBody>
      </xdr:sp>
      <xdr:sp macro="" textlink="">
        <xdr:nvSpPr>
          <xdr:cNvPr id="17" name="TextBox 16">
            <a:hlinkClick xmlns:r="http://schemas.openxmlformats.org/officeDocument/2006/relationships" r:id="rId8"/>
            <a:extLst>
              <a:ext uri="{FF2B5EF4-FFF2-40B4-BE49-F238E27FC236}">
                <a16:creationId xmlns:a16="http://schemas.microsoft.com/office/drawing/2014/main" id="{00000000-0008-0000-0A00-000011000000}"/>
              </a:ext>
            </a:extLst>
          </xdr:cNvPr>
          <xdr:cNvSpPr txBox="1"/>
        </xdr:nvSpPr>
        <xdr:spPr>
          <a:xfrm>
            <a:off x="5781675" y="6200775"/>
            <a:ext cx="174307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u="sng">
                <a:solidFill>
                  <a:srgbClr val="0594FF"/>
                </a:solidFill>
              </a:rPr>
              <a:t>Character Sheet </a:t>
            </a:r>
            <a:r>
              <a:rPr lang="en-US" sz="1000" b="0" u="sng">
                <a:solidFill>
                  <a:srgbClr val="0594FF"/>
                </a:solidFill>
              </a:rPr>
              <a:t>(main)</a:t>
            </a:r>
          </a:p>
        </xdr:txBody>
      </xdr:sp>
      <xdr:sp macro="" textlink="">
        <xdr:nvSpPr>
          <xdr:cNvPr id="18" name="TextBox 17">
            <a:hlinkClick xmlns:r="http://schemas.openxmlformats.org/officeDocument/2006/relationships" r:id="rId9"/>
            <a:extLst>
              <a:ext uri="{FF2B5EF4-FFF2-40B4-BE49-F238E27FC236}">
                <a16:creationId xmlns:a16="http://schemas.microsoft.com/office/drawing/2014/main" id="{00000000-0008-0000-0A00-000012000000}"/>
              </a:ext>
            </a:extLst>
          </xdr:cNvPr>
          <xdr:cNvSpPr txBox="1"/>
        </xdr:nvSpPr>
        <xdr:spPr>
          <a:xfrm>
            <a:off x="5781675" y="6486525"/>
            <a:ext cx="174307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u="sng">
                <a:solidFill>
                  <a:srgbClr val="0594FF"/>
                </a:solidFill>
              </a:rPr>
              <a:t>Magic &amp; Psionics</a:t>
            </a:r>
          </a:p>
        </xdr:txBody>
      </xdr:sp>
      <xdr:sp macro="" textlink="">
        <xdr:nvSpPr>
          <xdr:cNvPr id="19" name="TextBox 18">
            <a:hlinkClick xmlns:r="http://schemas.openxmlformats.org/officeDocument/2006/relationships" r:id="rId10"/>
            <a:extLst>
              <a:ext uri="{FF2B5EF4-FFF2-40B4-BE49-F238E27FC236}">
                <a16:creationId xmlns:a16="http://schemas.microsoft.com/office/drawing/2014/main" id="{00000000-0008-0000-0A00-000013000000}"/>
              </a:ext>
            </a:extLst>
          </xdr:cNvPr>
          <xdr:cNvSpPr txBox="1"/>
        </xdr:nvSpPr>
        <xdr:spPr>
          <a:xfrm>
            <a:off x="5781675" y="6772275"/>
            <a:ext cx="174307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u="sng">
                <a:solidFill>
                  <a:srgbClr val="0594FF"/>
                </a:solidFill>
              </a:rPr>
              <a:t>Combat Sheet</a:t>
            </a:r>
          </a:p>
        </xdr:txBody>
      </xdr:sp>
      <xdr:sp macro="" textlink="">
        <xdr:nvSpPr>
          <xdr:cNvPr id="20" name="TextBox 19">
            <a:extLst>
              <a:ext uri="{FF2B5EF4-FFF2-40B4-BE49-F238E27FC236}">
                <a16:creationId xmlns:a16="http://schemas.microsoft.com/office/drawing/2014/main" id="{00000000-0008-0000-0A00-000014000000}"/>
              </a:ext>
            </a:extLst>
          </xdr:cNvPr>
          <xdr:cNvSpPr txBox="1"/>
        </xdr:nvSpPr>
        <xdr:spPr>
          <a:xfrm>
            <a:off x="5781675" y="990600"/>
            <a:ext cx="174307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1"/>
              <a:t>Introduction:</a:t>
            </a:r>
          </a:p>
        </xdr:txBody>
      </xdr:sp>
      <xdr:sp macro="" textlink="">
        <xdr:nvSpPr>
          <xdr:cNvPr id="21" name="TextBox 20">
            <a:hlinkClick xmlns:r="http://schemas.openxmlformats.org/officeDocument/2006/relationships" r:id="rId11"/>
            <a:extLst>
              <a:ext uri="{FF2B5EF4-FFF2-40B4-BE49-F238E27FC236}">
                <a16:creationId xmlns:a16="http://schemas.microsoft.com/office/drawing/2014/main" id="{00000000-0008-0000-0A00-000015000000}"/>
              </a:ext>
            </a:extLst>
          </xdr:cNvPr>
          <xdr:cNvSpPr txBox="1"/>
        </xdr:nvSpPr>
        <xdr:spPr>
          <a:xfrm>
            <a:off x="5781675" y="1266825"/>
            <a:ext cx="174307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u="sng">
                <a:solidFill>
                  <a:srgbClr val="0594FF"/>
                </a:solidFill>
              </a:rPr>
              <a:t>Cover Page</a:t>
            </a:r>
          </a:p>
        </xdr:txBody>
      </xdr:sp>
      <xdr:sp macro="" textlink="">
        <xdr:nvSpPr>
          <xdr:cNvPr id="22" name="TextBox 21">
            <a:hlinkClick xmlns:r="http://schemas.openxmlformats.org/officeDocument/2006/relationships" r:id="rId12"/>
            <a:extLst>
              <a:ext uri="{FF2B5EF4-FFF2-40B4-BE49-F238E27FC236}">
                <a16:creationId xmlns:a16="http://schemas.microsoft.com/office/drawing/2014/main" id="{00000000-0008-0000-0A00-000016000000}"/>
              </a:ext>
            </a:extLst>
          </xdr:cNvPr>
          <xdr:cNvSpPr txBox="1"/>
        </xdr:nvSpPr>
        <xdr:spPr>
          <a:xfrm>
            <a:off x="5781675" y="1543050"/>
            <a:ext cx="174307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u="sng">
                <a:solidFill>
                  <a:srgbClr val="0594FF"/>
                </a:solidFill>
              </a:rPr>
              <a:t>Instructions</a:t>
            </a:r>
          </a:p>
        </xdr:txBody>
      </xdr:sp>
      <xdr:sp macro="" textlink="">
        <xdr:nvSpPr>
          <xdr:cNvPr id="23" name="TextBox 22">
            <a:hlinkClick xmlns:r="http://schemas.openxmlformats.org/officeDocument/2006/relationships" r:id="rId13"/>
            <a:extLst>
              <a:ext uri="{FF2B5EF4-FFF2-40B4-BE49-F238E27FC236}">
                <a16:creationId xmlns:a16="http://schemas.microsoft.com/office/drawing/2014/main" id="{00000000-0008-0000-0A00-000017000000}"/>
              </a:ext>
            </a:extLst>
          </xdr:cNvPr>
          <xdr:cNvSpPr txBox="1"/>
        </xdr:nvSpPr>
        <xdr:spPr>
          <a:xfrm>
            <a:off x="5781675" y="1819275"/>
            <a:ext cx="174307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u="sng">
                <a:solidFill>
                  <a:srgbClr val="0594FF"/>
                </a:solidFill>
              </a:rPr>
              <a:t>Legal Information</a:t>
            </a:r>
          </a:p>
        </xdr:txBody>
      </xdr:sp>
      <xdr:sp macro="" textlink="">
        <xdr:nvSpPr>
          <xdr:cNvPr id="24" name="TextBox 23">
            <a:hlinkClick xmlns:r="http://schemas.openxmlformats.org/officeDocument/2006/relationships" r:id="rId14"/>
            <a:extLst>
              <a:ext uri="{FF2B5EF4-FFF2-40B4-BE49-F238E27FC236}">
                <a16:creationId xmlns:a16="http://schemas.microsoft.com/office/drawing/2014/main" id="{00000000-0008-0000-0A00-000018000000}"/>
              </a:ext>
            </a:extLst>
          </xdr:cNvPr>
          <xdr:cNvSpPr txBox="1"/>
        </xdr:nvSpPr>
        <xdr:spPr>
          <a:xfrm>
            <a:off x="5781675" y="2095500"/>
            <a:ext cx="174307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u="sng">
                <a:solidFill>
                  <a:srgbClr val="0594FF"/>
                </a:solidFill>
              </a:rPr>
              <a:t>Editor's Notes</a:t>
            </a:r>
          </a:p>
        </xdr:txBody>
      </xdr:sp>
    </xdr:grpSp>
    <xdr:clientData/>
  </xdr:twoCellAnchor>
</xdr:wsDr>
</file>

<file path=xl/drawings/drawing12.xml><?xml version="1.0" encoding="utf-8"?>
<xdr:wsDr xmlns:xdr="http://schemas.openxmlformats.org/drawingml/2006/spreadsheetDrawing" xmlns:a="http://schemas.openxmlformats.org/drawingml/2006/main">
  <xdr:twoCellAnchor editAs="oneCell">
    <xdr:from>
      <xdr:col>17</xdr:col>
      <xdr:colOff>57149</xdr:colOff>
      <xdr:row>5</xdr:row>
      <xdr:rowOff>57150</xdr:rowOff>
    </xdr:from>
    <xdr:to>
      <xdr:col>26</xdr:col>
      <xdr:colOff>542924</xdr:colOff>
      <xdr:row>61</xdr:row>
      <xdr:rowOff>95554</xdr:rowOff>
    </xdr:to>
    <xdr:pic>
      <xdr:nvPicPr>
        <xdr:cNvPr id="20" name="Picture 19">
          <a:extLst>
            <a:ext uri="{FF2B5EF4-FFF2-40B4-BE49-F238E27FC236}">
              <a16:creationId xmlns:a16="http://schemas.microsoft.com/office/drawing/2014/main" id="{00000000-0008-0000-0B00-00001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57899" y="752475"/>
          <a:ext cx="5762625" cy="8220379"/>
        </a:xfrm>
        <a:prstGeom prst="rect">
          <a:avLst/>
        </a:prstGeom>
      </xdr:spPr>
    </xdr:pic>
    <xdr:clientData/>
  </xdr:twoCellAnchor>
  <xdr:twoCellAnchor>
    <xdr:from>
      <xdr:col>17</xdr:col>
      <xdr:colOff>104775</xdr:colOff>
      <xdr:row>11</xdr:row>
      <xdr:rowOff>66675</xdr:rowOff>
    </xdr:from>
    <xdr:to>
      <xdr:col>20</xdr:col>
      <xdr:colOff>238125</xdr:colOff>
      <xdr:row>52</xdr:row>
      <xdr:rowOff>85725</xdr:rowOff>
    </xdr:to>
    <xdr:grpSp>
      <xdr:nvGrpSpPr>
        <xdr:cNvPr id="21" name="Group 20">
          <a:extLst>
            <a:ext uri="{FF2B5EF4-FFF2-40B4-BE49-F238E27FC236}">
              <a16:creationId xmlns:a16="http://schemas.microsoft.com/office/drawing/2014/main" id="{00000000-0008-0000-0B00-000015000000}"/>
            </a:ext>
          </a:extLst>
        </xdr:cNvPr>
        <xdr:cNvGrpSpPr/>
      </xdr:nvGrpSpPr>
      <xdr:grpSpPr>
        <a:xfrm>
          <a:off x="6105525" y="1657350"/>
          <a:ext cx="1752600" cy="6038850"/>
          <a:chOff x="5772150" y="990600"/>
          <a:chExt cx="1752600" cy="6038850"/>
        </a:xfrm>
      </xdr:grpSpPr>
      <xdr:sp macro="" textlink="">
        <xdr:nvSpPr>
          <xdr:cNvPr id="22" name="TextBox 21">
            <a:extLst>
              <a:ext uri="{FF2B5EF4-FFF2-40B4-BE49-F238E27FC236}">
                <a16:creationId xmlns:a16="http://schemas.microsoft.com/office/drawing/2014/main" id="{00000000-0008-0000-0B00-000016000000}"/>
              </a:ext>
            </a:extLst>
          </xdr:cNvPr>
          <xdr:cNvSpPr txBox="1"/>
        </xdr:nvSpPr>
        <xdr:spPr>
          <a:xfrm>
            <a:off x="5781675" y="5915025"/>
            <a:ext cx="174307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1"/>
              <a:t>Character </a:t>
            </a:r>
            <a:r>
              <a:rPr lang="en-US" sz="1000" b="1" i="1"/>
              <a:t>(Printer</a:t>
            </a:r>
            <a:r>
              <a:rPr lang="en-US" sz="1000" b="1" i="1" baseline="0"/>
              <a:t> Friendly)</a:t>
            </a:r>
            <a:r>
              <a:rPr lang="en-US" sz="1100" b="1" i="1"/>
              <a:t>:</a:t>
            </a:r>
          </a:p>
        </xdr:txBody>
      </xdr:sp>
      <xdr:sp macro="" textlink="">
        <xdr:nvSpPr>
          <xdr:cNvPr id="23" name="TextBox 22">
            <a:extLst>
              <a:ext uri="{FF2B5EF4-FFF2-40B4-BE49-F238E27FC236}">
                <a16:creationId xmlns:a16="http://schemas.microsoft.com/office/drawing/2014/main" id="{00000000-0008-0000-0B00-000017000000}"/>
              </a:ext>
            </a:extLst>
          </xdr:cNvPr>
          <xdr:cNvSpPr txBox="1"/>
        </xdr:nvSpPr>
        <xdr:spPr>
          <a:xfrm>
            <a:off x="5781675" y="4629150"/>
            <a:ext cx="174307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1"/>
              <a:t>Character Building:</a:t>
            </a:r>
          </a:p>
        </xdr:txBody>
      </xdr:sp>
      <xdr:sp macro="" textlink="">
        <xdr:nvSpPr>
          <xdr:cNvPr id="24" name="TextBox 23">
            <a:extLst>
              <a:ext uri="{FF2B5EF4-FFF2-40B4-BE49-F238E27FC236}">
                <a16:creationId xmlns:a16="http://schemas.microsoft.com/office/drawing/2014/main" id="{00000000-0008-0000-0B00-000018000000}"/>
              </a:ext>
            </a:extLst>
          </xdr:cNvPr>
          <xdr:cNvSpPr txBox="1"/>
        </xdr:nvSpPr>
        <xdr:spPr>
          <a:xfrm>
            <a:off x="5772150" y="2590800"/>
            <a:ext cx="174307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1"/>
              <a:t>Character</a:t>
            </a:r>
            <a:r>
              <a:rPr lang="en-US" sz="1100" b="1" i="1" baseline="0"/>
              <a:t> Information</a:t>
            </a:r>
            <a:r>
              <a:rPr lang="en-US" sz="1100" b="1" i="1"/>
              <a:t>:</a:t>
            </a:r>
          </a:p>
        </xdr:txBody>
      </xdr:sp>
      <xdr:sp macro="" textlink="">
        <xdr:nvSpPr>
          <xdr:cNvPr id="25" name="TextBox 24">
            <a:hlinkClick xmlns:r="http://schemas.openxmlformats.org/officeDocument/2006/relationships" r:id="rId2"/>
            <a:extLst>
              <a:ext uri="{FF2B5EF4-FFF2-40B4-BE49-F238E27FC236}">
                <a16:creationId xmlns:a16="http://schemas.microsoft.com/office/drawing/2014/main" id="{00000000-0008-0000-0B00-000019000000}"/>
              </a:ext>
            </a:extLst>
          </xdr:cNvPr>
          <xdr:cNvSpPr txBox="1"/>
        </xdr:nvSpPr>
        <xdr:spPr>
          <a:xfrm>
            <a:off x="5772150" y="2867025"/>
            <a:ext cx="174307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u="sng">
                <a:solidFill>
                  <a:srgbClr val="0594FF"/>
                </a:solidFill>
              </a:rPr>
              <a:t>Character Sheet </a:t>
            </a:r>
            <a:r>
              <a:rPr lang="en-US" sz="1000" b="0" u="sng">
                <a:solidFill>
                  <a:srgbClr val="0594FF"/>
                </a:solidFill>
              </a:rPr>
              <a:t>(main)</a:t>
            </a:r>
          </a:p>
        </xdr:txBody>
      </xdr:sp>
      <xdr:sp macro="" textlink="">
        <xdr:nvSpPr>
          <xdr:cNvPr id="26" name="TextBox 25">
            <a:hlinkClick xmlns:r="http://schemas.openxmlformats.org/officeDocument/2006/relationships" r:id="rId3"/>
            <a:extLst>
              <a:ext uri="{FF2B5EF4-FFF2-40B4-BE49-F238E27FC236}">
                <a16:creationId xmlns:a16="http://schemas.microsoft.com/office/drawing/2014/main" id="{00000000-0008-0000-0B00-00001A000000}"/>
              </a:ext>
            </a:extLst>
          </xdr:cNvPr>
          <xdr:cNvSpPr txBox="1"/>
        </xdr:nvSpPr>
        <xdr:spPr>
          <a:xfrm>
            <a:off x="5772150" y="3143250"/>
            <a:ext cx="174307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u="sng">
                <a:solidFill>
                  <a:srgbClr val="0594FF"/>
                </a:solidFill>
              </a:rPr>
              <a:t>Magic &amp; Psionics</a:t>
            </a:r>
          </a:p>
        </xdr:txBody>
      </xdr:sp>
      <xdr:sp macro="" textlink="">
        <xdr:nvSpPr>
          <xdr:cNvPr id="27" name="TextBox 26">
            <a:hlinkClick xmlns:r="http://schemas.openxmlformats.org/officeDocument/2006/relationships" r:id="rId4"/>
            <a:extLst>
              <a:ext uri="{FF2B5EF4-FFF2-40B4-BE49-F238E27FC236}">
                <a16:creationId xmlns:a16="http://schemas.microsoft.com/office/drawing/2014/main" id="{00000000-0008-0000-0B00-00001B000000}"/>
              </a:ext>
            </a:extLst>
          </xdr:cNvPr>
          <xdr:cNvSpPr txBox="1"/>
        </xdr:nvSpPr>
        <xdr:spPr>
          <a:xfrm>
            <a:off x="5772150" y="3419475"/>
            <a:ext cx="174307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u="sng">
                <a:solidFill>
                  <a:srgbClr val="0594FF"/>
                </a:solidFill>
              </a:rPr>
              <a:t>Combat Sheet</a:t>
            </a:r>
          </a:p>
        </xdr:txBody>
      </xdr:sp>
      <xdr:sp macro="" textlink="">
        <xdr:nvSpPr>
          <xdr:cNvPr id="28" name="TextBox 27">
            <a:hlinkClick xmlns:r="http://schemas.openxmlformats.org/officeDocument/2006/relationships" r:id="rId5"/>
            <a:extLst>
              <a:ext uri="{FF2B5EF4-FFF2-40B4-BE49-F238E27FC236}">
                <a16:creationId xmlns:a16="http://schemas.microsoft.com/office/drawing/2014/main" id="{00000000-0008-0000-0B00-00001C000000}"/>
              </a:ext>
            </a:extLst>
          </xdr:cNvPr>
          <xdr:cNvSpPr txBox="1"/>
        </xdr:nvSpPr>
        <xdr:spPr>
          <a:xfrm>
            <a:off x="5781675" y="4905375"/>
            <a:ext cx="174307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u="sng">
                <a:solidFill>
                  <a:srgbClr val="0594FF"/>
                </a:solidFill>
              </a:rPr>
              <a:t>Worktable </a:t>
            </a:r>
            <a:r>
              <a:rPr lang="en-US" sz="1000" b="0" u="sng">
                <a:solidFill>
                  <a:srgbClr val="0594FF"/>
                </a:solidFill>
              </a:rPr>
              <a:t>(Scratch Paper)</a:t>
            </a:r>
          </a:p>
        </xdr:txBody>
      </xdr:sp>
      <xdr:sp macro="" textlink="">
        <xdr:nvSpPr>
          <xdr:cNvPr id="29" name="TextBox 28">
            <a:hlinkClick xmlns:r="http://schemas.openxmlformats.org/officeDocument/2006/relationships" r:id="rId6"/>
            <a:extLst>
              <a:ext uri="{FF2B5EF4-FFF2-40B4-BE49-F238E27FC236}">
                <a16:creationId xmlns:a16="http://schemas.microsoft.com/office/drawing/2014/main" id="{00000000-0008-0000-0B00-00001D000000}"/>
              </a:ext>
            </a:extLst>
          </xdr:cNvPr>
          <xdr:cNvSpPr txBox="1"/>
        </xdr:nvSpPr>
        <xdr:spPr>
          <a:xfrm>
            <a:off x="5781675" y="5181600"/>
            <a:ext cx="174307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u="sng">
                <a:solidFill>
                  <a:srgbClr val="0594FF"/>
                </a:solidFill>
              </a:rPr>
              <a:t>Skills Selection</a:t>
            </a:r>
          </a:p>
        </xdr:txBody>
      </xdr:sp>
      <xdr:sp macro="" textlink="">
        <xdr:nvSpPr>
          <xdr:cNvPr id="30" name="TextBox 29">
            <a:hlinkClick xmlns:r="http://schemas.openxmlformats.org/officeDocument/2006/relationships" r:id="rId7"/>
            <a:extLst>
              <a:ext uri="{FF2B5EF4-FFF2-40B4-BE49-F238E27FC236}">
                <a16:creationId xmlns:a16="http://schemas.microsoft.com/office/drawing/2014/main" id="{00000000-0008-0000-0B00-00001E000000}"/>
              </a:ext>
            </a:extLst>
          </xdr:cNvPr>
          <xdr:cNvSpPr txBox="1"/>
        </xdr:nvSpPr>
        <xdr:spPr>
          <a:xfrm>
            <a:off x="5781675" y="5457825"/>
            <a:ext cx="174307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u="sng">
                <a:solidFill>
                  <a:srgbClr val="0594FF"/>
                </a:solidFill>
              </a:rPr>
              <a:t>Customize</a:t>
            </a:r>
          </a:p>
        </xdr:txBody>
      </xdr:sp>
      <xdr:sp macro="" textlink="">
        <xdr:nvSpPr>
          <xdr:cNvPr id="31" name="TextBox 30">
            <a:hlinkClick xmlns:r="http://schemas.openxmlformats.org/officeDocument/2006/relationships" r:id="rId8"/>
            <a:extLst>
              <a:ext uri="{FF2B5EF4-FFF2-40B4-BE49-F238E27FC236}">
                <a16:creationId xmlns:a16="http://schemas.microsoft.com/office/drawing/2014/main" id="{00000000-0008-0000-0B00-00001F000000}"/>
              </a:ext>
            </a:extLst>
          </xdr:cNvPr>
          <xdr:cNvSpPr txBox="1"/>
        </xdr:nvSpPr>
        <xdr:spPr>
          <a:xfrm>
            <a:off x="5781675" y="6200775"/>
            <a:ext cx="174307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u="sng">
                <a:solidFill>
                  <a:srgbClr val="0594FF"/>
                </a:solidFill>
              </a:rPr>
              <a:t>Character Sheet </a:t>
            </a:r>
            <a:r>
              <a:rPr lang="en-US" sz="1000" b="0" u="sng">
                <a:solidFill>
                  <a:srgbClr val="0594FF"/>
                </a:solidFill>
              </a:rPr>
              <a:t>(main)</a:t>
            </a:r>
          </a:p>
        </xdr:txBody>
      </xdr:sp>
      <xdr:sp macro="" textlink="">
        <xdr:nvSpPr>
          <xdr:cNvPr id="32" name="TextBox 31">
            <a:hlinkClick xmlns:r="http://schemas.openxmlformats.org/officeDocument/2006/relationships" r:id="rId9"/>
            <a:extLst>
              <a:ext uri="{FF2B5EF4-FFF2-40B4-BE49-F238E27FC236}">
                <a16:creationId xmlns:a16="http://schemas.microsoft.com/office/drawing/2014/main" id="{00000000-0008-0000-0B00-000020000000}"/>
              </a:ext>
            </a:extLst>
          </xdr:cNvPr>
          <xdr:cNvSpPr txBox="1"/>
        </xdr:nvSpPr>
        <xdr:spPr>
          <a:xfrm>
            <a:off x="5781675" y="6486525"/>
            <a:ext cx="174307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u="sng">
                <a:solidFill>
                  <a:srgbClr val="0594FF"/>
                </a:solidFill>
              </a:rPr>
              <a:t>Magic &amp; Psionics</a:t>
            </a:r>
          </a:p>
        </xdr:txBody>
      </xdr:sp>
      <xdr:sp macro="" textlink="">
        <xdr:nvSpPr>
          <xdr:cNvPr id="33" name="TextBox 32">
            <a:hlinkClick xmlns:r="http://schemas.openxmlformats.org/officeDocument/2006/relationships" r:id="rId10"/>
            <a:extLst>
              <a:ext uri="{FF2B5EF4-FFF2-40B4-BE49-F238E27FC236}">
                <a16:creationId xmlns:a16="http://schemas.microsoft.com/office/drawing/2014/main" id="{00000000-0008-0000-0B00-000021000000}"/>
              </a:ext>
            </a:extLst>
          </xdr:cNvPr>
          <xdr:cNvSpPr txBox="1"/>
        </xdr:nvSpPr>
        <xdr:spPr>
          <a:xfrm>
            <a:off x="5781675" y="6772275"/>
            <a:ext cx="174307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u="sng">
                <a:solidFill>
                  <a:srgbClr val="0594FF"/>
                </a:solidFill>
              </a:rPr>
              <a:t>Combat Sheet</a:t>
            </a:r>
          </a:p>
        </xdr:txBody>
      </xdr:sp>
      <xdr:sp macro="" textlink="">
        <xdr:nvSpPr>
          <xdr:cNvPr id="34" name="TextBox 33">
            <a:extLst>
              <a:ext uri="{FF2B5EF4-FFF2-40B4-BE49-F238E27FC236}">
                <a16:creationId xmlns:a16="http://schemas.microsoft.com/office/drawing/2014/main" id="{00000000-0008-0000-0B00-000022000000}"/>
              </a:ext>
            </a:extLst>
          </xdr:cNvPr>
          <xdr:cNvSpPr txBox="1"/>
        </xdr:nvSpPr>
        <xdr:spPr>
          <a:xfrm>
            <a:off x="5781675" y="990600"/>
            <a:ext cx="174307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1"/>
              <a:t>Introduction:</a:t>
            </a:r>
          </a:p>
        </xdr:txBody>
      </xdr:sp>
      <xdr:sp macro="" textlink="">
        <xdr:nvSpPr>
          <xdr:cNvPr id="35" name="TextBox 34">
            <a:hlinkClick xmlns:r="http://schemas.openxmlformats.org/officeDocument/2006/relationships" r:id="rId11"/>
            <a:extLst>
              <a:ext uri="{FF2B5EF4-FFF2-40B4-BE49-F238E27FC236}">
                <a16:creationId xmlns:a16="http://schemas.microsoft.com/office/drawing/2014/main" id="{00000000-0008-0000-0B00-000023000000}"/>
              </a:ext>
            </a:extLst>
          </xdr:cNvPr>
          <xdr:cNvSpPr txBox="1"/>
        </xdr:nvSpPr>
        <xdr:spPr>
          <a:xfrm>
            <a:off x="5781675" y="1266825"/>
            <a:ext cx="174307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u="sng">
                <a:solidFill>
                  <a:srgbClr val="0594FF"/>
                </a:solidFill>
              </a:rPr>
              <a:t>Cover Page</a:t>
            </a:r>
          </a:p>
        </xdr:txBody>
      </xdr:sp>
      <xdr:sp macro="" textlink="">
        <xdr:nvSpPr>
          <xdr:cNvPr id="36" name="TextBox 35">
            <a:hlinkClick xmlns:r="http://schemas.openxmlformats.org/officeDocument/2006/relationships" r:id="rId12"/>
            <a:extLst>
              <a:ext uri="{FF2B5EF4-FFF2-40B4-BE49-F238E27FC236}">
                <a16:creationId xmlns:a16="http://schemas.microsoft.com/office/drawing/2014/main" id="{00000000-0008-0000-0B00-000024000000}"/>
              </a:ext>
            </a:extLst>
          </xdr:cNvPr>
          <xdr:cNvSpPr txBox="1"/>
        </xdr:nvSpPr>
        <xdr:spPr>
          <a:xfrm>
            <a:off x="5781675" y="1543050"/>
            <a:ext cx="174307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u="sng">
                <a:solidFill>
                  <a:srgbClr val="0594FF"/>
                </a:solidFill>
              </a:rPr>
              <a:t>Instructions</a:t>
            </a:r>
          </a:p>
        </xdr:txBody>
      </xdr:sp>
      <xdr:sp macro="" textlink="">
        <xdr:nvSpPr>
          <xdr:cNvPr id="37" name="TextBox 36">
            <a:hlinkClick xmlns:r="http://schemas.openxmlformats.org/officeDocument/2006/relationships" r:id="rId13"/>
            <a:extLst>
              <a:ext uri="{FF2B5EF4-FFF2-40B4-BE49-F238E27FC236}">
                <a16:creationId xmlns:a16="http://schemas.microsoft.com/office/drawing/2014/main" id="{00000000-0008-0000-0B00-000025000000}"/>
              </a:ext>
            </a:extLst>
          </xdr:cNvPr>
          <xdr:cNvSpPr txBox="1"/>
        </xdr:nvSpPr>
        <xdr:spPr>
          <a:xfrm>
            <a:off x="5781675" y="1819275"/>
            <a:ext cx="174307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u="sng">
                <a:solidFill>
                  <a:srgbClr val="0594FF"/>
                </a:solidFill>
              </a:rPr>
              <a:t>Legal Information</a:t>
            </a:r>
          </a:p>
        </xdr:txBody>
      </xdr:sp>
      <xdr:sp macro="" textlink="">
        <xdr:nvSpPr>
          <xdr:cNvPr id="38" name="TextBox 37">
            <a:hlinkClick xmlns:r="http://schemas.openxmlformats.org/officeDocument/2006/relationships" r:id="rId14"/>
            <a:extLst>
              <a:ext uri="{FF2B5EF4-FFF2-40B4-BE49-F238E27FC236}">
                <a16:creationId xmlns:a16="http://schemas.microsoft.com/office/drawing/2014/main" id="{00000000-0008-0000-0B00-000026000000}"/>
              </a:ext>
            </a:extLst>
          </xdr:cNvPr>
          <xdr:cNvSpPr txBox="1"/>
        </xdr:nvSpPr>
        <xdr:spPr>
          <a:xfrm>
            <a:off x="5781675" y="2095500"/>
            <a:ext cx="174307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u="sng">
                <a:solidFill>
                  <a:srgbClr val="0594FF"/>
                </a:solidFill>
              </a:rPr>
              <a:t>Editor's Notes</a:t>
            </a:r>
          </a:p>
        </xdr:txBody>
      </xdr:sp>
    </xdr:grpSp>
    <xdr:clientData/>
  </xdr:twoCellAnchor>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76200</xdr:colOff>
          <xdr:row>5</xdr:row>
          <xdr:rowOff>0</xdr:rowOff>
        </xdr:from>
        <xdr:to>
          <xdr:col>10</xdr:col>
          <xdr:colOff>76200</xdr:colOff>
          <xdr:row>6</xdr:row>
          <xdr:rowOff>0</xdr:rowOff>
        </xdr:to>
        <xdr:sp macro="" textlink="">
          <xdr:nvSpPr>
            <xdr:cNvPr id="20481" name="Check Box 1" hidden="1">
              <a:extLst>
                <a:ext uri="{63B3BB69-23CF-44E3-9099-C40C66FF867C}">
                  <a14:compatExt spid="_x0000_s20481"/>
                </a:ext>
                <a:ext uri="{FF2B5EF4-FFF2-40B4-BE49-F238E27FC236}">
                  <a16:creationId xmlns:a16="http://schemas.microsoft.com/office/drawing/2014/main" id="{00000000-0008-0000-0C00-000001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6</xdr:row>
          <xdr:rowOff>0</xdr:rowOff>
        </xdr:from>
        <xdr:to>
          <xdr:col>10</xdr:col>
          <xdr:colOff>76200</xdr:colOff>
          <xdr:row>7</xdr:row>
          <xdr:rowOff>0</xdr:rowOff>
        </xdr:to>
        <xdr:sp macro="" textlink="">
          <xdr:nvSpPr>
            <xdr:cNvPr id="20482" name="Check Box 2" hidden="1">
              <a:extLst>
                <a:ext uri="{63B3BB69-23CF-44E3-9099-C40C66FF867C}">
                  <a14:compatExt spid="_x0000_s20482"/>
                </a:ext>
                <a:ext uri="{FF2B5EF4-FFF2-40B4-BE49-F238E27FC236}">
                  <a16:creationId xmlns:a16="http://schemas.microsoft.com/office/drawing/2014/main" id="{00000000-0008-0000-0C00-000002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7</xdr:row>
          <xdr:rowOff>0</xdr:rowOff>
        </xdr:from>
        <xdr:to>
          <xdr:col>10</xdr:col>
          <xdr:colOff>76200</xdr:colOff>
          <xdr:row>8</xdr:row>
          <xdr:rowOff>0</xdr:rowOff>
        </xdr:to>
        <xdr:sp macro="" textlink="">
          <xdr:nvSpPr>
            <xdr:cNvPr id="20483" name="Check Box 3" hidden="1">
              <a:extLst>
                <a:ext uri="{63B3BB69-23CF-44E3-9099-C40C66FF867C}">
                  <a14:compatExt spid="_x0000_s20483"/>
                </a:ext>
                <a:ext uri="{FF2B5EF4-FFF2-40B4-BE49-F238E27FC236}">
                  <a16:creationId xmlns:a16="http://schemas.microsoft.com/office/drawing/2014/main" id="{00000000-0008-0000-0C00-000003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8</xdr:row>
          <xdr:rowOff>0</xdr:rowOff>
        </xdr:from>
        <xdr:to>
          <xdr:col>10</xdr:col>
          <xdr:colOff>76200</xdr:colOff>
          <xdr:row>9</xdr:row>
          <xdr:rowOff>0</xdr:rowOff>
        </xdr:to>
        <xdr:sp macro="" textlink="">
          <xdr:nvSpPr>
            <xdr:cNvPr id="20484" name="Check Box 4" hidden="1">
              <a:extLst>
                <a:ext uri="{63B3BB69-23CF-44E3-9099-C40C66FF867C}">
                  <a14:compatExt spid="_x0000_s20484"/>
                </a:ext>
                <a:ext uri="{FF2B5EF4-FFF2-40B4-BE49-F238E27FC236}">
                  <a16:creationId xmlns:a16="http://schemas.microsoft.com/office/drawing/2014/main" id="{00000000-0008-0000-0C00-000004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9</xdr:row>
          <xdr:rowOff>0</xdr:rowOff>
        </xdr:from>
        <xdr:to>
          <xdr:col>10</xdr:col>
          <xdr:colOff>76200</xdr:colOff>
          <xdr:row>10</xdr:row>
          <xdr:rowOff>0</xdr:rowOff>
        </xdr:to>
        <xdr:sp macro="" textlink="">
          <xdr:nvSpPr>
            <xdr:cNvPr id="20485" name="Check Box 5" hidden="1">
              <a:extLst>
                <a:ext uri="{63B3BB69-23CF-44E3-9099-C40C66FF867C}">
                  <a14:compatExt spid="_x0000_s20485"/>
                </a:ext>
                <a:ext uri="{FF2B5EF4-FFF2-40B4-BE49-F238E27FC236}">
                  <a16:creationId xmlns:a16="http://schemas.microsoft.com/office/drawing/2014/main" id="{00000000-0008-0000-0C00-000005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10</xdr:row>
          <xdr:rowOff>0</xdr:rowOff>
        </xdr:from>
        <xdr:to>
          <xdr:col>10</xdr:col>
          <xdr:colOff>76200</xdr:colOff>
          <xdr:row>11</xdr:row>
          <xdr:rowOff>0</xdr:rowOff>
        </xdr:to>
        <xdr:sp macro="" textlink="">
          <xdr:nvSpPr>
            <xdr:cNvPr id="20486" name="Check Box 6" hidden="1">
              <a:extLst>
                <a:ext uri="{63B3BB69-23CF-44E3-9099-C40C66FF867C}">
                  <a14:compatExt spid="_x0000_s20486"/>
                </a:ext>
                <a:ext uri="{FF2B5EF4-FFF2-40B4-BE49-F238E27FC236}">
                  <a16:creationId xmlns:a16="http://schemas.microsoft.com/office/drawing/2014/main" id="{00000000-0008-0000-0C00-000006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11</xdr:row>
          <xdr:rowOff>0</xdr:rowOff>
        </xdr:from>
        <xdr:to>
          <xdr:col>10</xdr:col>
          <xdr:colOff>76200</xdr:colOff>
          <xdr:row>12</xdr:row>
          <xdr:rowOff>0</xdr:rowOff>
        </xdr:to>
        <xdr:sp macro="" textlink="">
          <xdr:nvSpPr>
            <xdr:cNvPr id="20487" name="Check Box 7" hidden="1">
              <a:extLst>
                <a:ext uri="{63B3BB69-23CF-44E3-9099-C40C66FF867C}">
                  <a14:compatExt spid="_x0000_s20487"/>
                </a:ext>
                <a:ext uri="{FF2B5EF4-FFF2-40B4-BE49-F238E27FC236}">
                  <a16:creationId xmlns:a16="http://schemas.microsoft.com/office/drawing/2014/main" id="{00000000-0008-0000-0C00-000007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12</xdr:row>
          <xdr:rowOff>0</xdr:rowOff>
        </xdr:from>
        <xdr:to>
          <xdr:col>10</xdr:col>
          <xdr:colOff>76200</xdr:colOff>
          <xdr:row>13</xdr:row>
          <xdr:rowOff>0</xdr:rowOff>
        </xdr:to>
        <xdr:sp macro="" textlink="">
          <xdr:nvSpPr>
            <xdr:cNvPr id="20488" name="Check Box 8" hidden="1">
              <a:extLst>
                <a:ext uri="{63B3BB69-23CF-44E3-9099-C40C66FF867C}">
                  <a14:compatExt spid="_x0000_s20488"/>
                </a:ext>
                <a:ext uri="{FF2B5EF4-FFF2-40B4-BE49-F238E27FC236}">
                  <a16:creationId xmlns:a16="http://schemas.microsoft.com/office/drawing/2014/main" id="{00000000-0008-0000-0C00-000008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13</xdr:row>
          <xdr:rowOff>0</xdr:rowOff>
        </xdr:from>
        <xdr:to>
          <xdr:col>10</xdr:col>
          <xdr:colOff>76200</xdr:colOff>
          <xdr:row>14</xdr:row>
          <xdr:rowOff>0</xdr:rowOff>
        </xdr:to>
        <xdr:sp macro="" textlink="">
          <xdr:nvSpPr>
            <xdr:cNvPr id="20489" name="Check Box 9" hidden="1">
              <a:extLst>
                <a:ext uri="{63B3BB69-23CF-44E3-9099-C40C66FF867C}">
                  <a14:compatExt spid="_x0000_s20489"/>
                </a:ext>
                <a:ext uri="{FF2B5EF4-FFF2-40B4-BE49-F238E27FC236}">
                  <a16:creationId xmlns:a16="http://schemas.microsoft.com/office/drawing/2014/main" id="{00000000-0008-0000-0C00-000009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14</xdr:row>
          <xdr:rowOff>0</xdr:rowOff>
        </xdr:from>
        <xdr:to>
          <xdr:col>10</xdr:col>
          <xdr:colOff>76200</xdr:colOff>
          <xdr:row>15</xdr:row>
          <xdr:rowOff>0</xdr:rowOff>
        </xdr:to>
        <xdr:sp macro="" textlink="">
          <xdr:nvSpPr>
            <xdr:cNvPr id="20490" name="Check Box 10" hidden="1">
              <a:extLst>
                <a:ext uri="{63B3BB69-23CF-44E3-9099-C40C66FF867C}">
                  <a14:compatExt spid="_x0000_s20490"/>
                </a:ext>
                <a:ext uri="{FF2B5EF4-FFF2-40B4-BE49-F238E27FC236}">
                  <a16:creationId xmlns:a16="http://schemas.microsoft.com/office/drawing/2014/main" id="{00000000-0008-0000-0C00-00000A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15</xdr:row>
          <xdr:rowOff>0</xdr:rowOff>
        </xdr:from>
        <xdr:to>
          <xdr:col>10</xdr:col>
          <xdr:colOff>76200</xdr:colOff>
          <xdr:row>16</xdr:row>
          <xdr:rowOff>0</xdr:rowOff>
        </xdr:to>
        <xdr:sp macro="" textlink="">
          <xdr:nvSpPr>
            <xdr:cNvPr id="20491" name="Check Box 11" hidden="1">
              <a:extLst>
                <a:ext uri="{63B3BB69-23CF-44E3-9099-C40C66FF867C}">
                  <a14:compatExt spid="_x0000_s20491"/>
                </a:ext>
                <a:ext uri="{FF2B5EF4-FFF2-40B4-BE49-F238E27FC236}">
                  <a16:creationId xmlns:a16="http://schemas.microsoft.com/office/drawing/2014/main" id="{00000000-0008-0000-0C00-00000B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16</xdr:row>
          <xdr:rowOff>0</xdr:rowOff>
        </xdr:from>
        <xdr:to>
          <xdr:col>10</xdr:col>
          <xdr:colOff>76200</xdr:colOff>
          <xdr:row>17</xdr:row>
          <xdr:rowOff>0</xdr:rowOff>
        </xdr:to>
        <xdr:sp macro="" textlink="">
          <xdr:nvSpPr>
            <xdr:cNvPr id="20492" name="Check Box 12" hidden="1">
              <a:extLst>
                <a:ext uri="{63B3BB69-23CF-44E3-9099-C40C66FF867C}">
                  <a14:compatExt spid="_x0000_s20492"/>
                </a:ext>
                <a:ext uri="{FF2B5EF4-FFF2-40B4-BE49-F238E27FC236}">
                  <a16:creationId xmlns:a16="http://schemas.microsoft.com/office/drawing/2014/main" id="{00000000-0008-0000-0C00-00000C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17</xdr:row>
          <xdr:rowOff>0</xdr:rowOff>
        </xdr:from>
        <xdr:to>
          <xdr:col>10</xdr:col>
          <xdr:colOff>76200</xdr:colOff>
          <xdr:row>18</xdr:row>
          <xdr:rowOff>0</xdr:rowOff>
        </xdr:to>
        <xdr:sp macro="" textlink="">
          <xdr:nvSpPr>
            <xdr:cNvPr id="20493" name="Check Box 13" hidden="1">
              <a:extLst>
                <a:ext uri="{63B3BB69-23CF-44E3-9099-C40C66FF867C}">
                  <a14:compatExt spid="_x0000_s20493"/>
                </a:ext>
                <a:ext uri="{FF2B5EF4-FFF2-40B4-BE49-F238E27FC236}">
                  <a16:creationId xmlns:a16="http://schemas.microsoft.com/office/drawing/2014/main" id="{00000000-0008-0000-0C00-00000D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18</xdr:row>
          <xdr:rowOff>0</xdr:rowOff>
        </xdr:from>
        <xdr:to>
          <xdr:col>10</xdr:col>
          <xdr:colOff>76200</xdr:colOff>
          <xdr:row>19</xdr:row>
          <xdr:rowOff>0</xdr:rowOff>
        </xdr:to>
        <xdr:sp macro="" textlink="">
          <xdr:nvSpPr>
            <xdr:cNvPr id="20494" name="Check Box 14" hidden="1">
              <a:extLst>
                <a:ext uri="{63B3BB69-23CF-44E3-9099-C40C66FF867C}">
                  <a14:compatExt spid="_x0000_s20494"/>
                </a:ext>
                <a:ext uri="{FF2B5EF4-FFF2-40B4-BE49-F238E27FC236}">
                  <a16:creationId xmlns:a16="http://schemas.microsoft.com/office/drawing/2014/main" id="{00000000-0008-0000-0C00-00000E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19</xdr:row>
          <xdr:rowOff>0</xdr:rowOff>
        </xdr:from>
        <xdr:to>
          <xdr:col>10</xdr:col>
          <xdr:colOff>76200</xdr:colOff>
          <xdr:row>20</xdr:row>
          <xdr:rowOff>0</xdr:rowOff>
        </xdr:to>
        <xdr:sp macro="" textlink="">
          <xdr:nvSpPr>
            <xdr:cNvPr id="20495" name="Check Box 15" hidden="1">
              <a:extLst>
                <a:ext uri="{63B3BB69-23CF-44E3-9099-C40C66FF867C}">
                  <a14:compatExt spid="_x0000_s20495"/>
                </a:ext>
                <a:ext uri="{FF2B5EF4-FFF2-40B4-BE49-F238E27FC236}">
                  <a16:creationId xmlns:a16="http://schemas.microsoft.com/office/drawing/2014/main" id="{00000000-0008-0000-0C00-00000F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20</xdr:row>
          <xdr:rowOff>0</xdr:rowOff>
        </xdr:from>
        <xdr:to>
          <xdr:col>10</xdr:col>
          <xdr:colOff>76200</xdr:colOff>
          <xdr:row>21</xdr:row>
          <xdr:rowOff>0</xdr:rowOff>
        </xdr:to>
        <xdr:sp macro="" textlink="">
          <xdr:nvSpPr>
            <xdr:cNvPr id="20496" name="Check Box 16" hidden="1">
              <a:extLst>
                <a:ext uri="{63B3BB69-23CF-44E3-9099-C40C66FF867C}">
                  <a14:compatExt spid="_x0000_s20496"/>
                </a:ext>
                <a:ext uri="{FF2B5EF4-FFF2-40B4-BE49-F238E27FC236}">
                  <a16:creationId xmlns:a16="http://schemas.microsoft.com/office/drawing/2014/main" id="{00000000-0008-0000-0C00-000010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21</xdr:row>
          <xdr:rowOff>0</xdr:rowOff>
        </xdr:from>
        <xdr:to>
          <xdr:col>10</xdr:col>
          <xdr:colOff>76200</xdr:colOff>
          <xdr:row>22</xdr:row>
          <xdr:rowOff>0</xdr:rowOff>
        </xdr:to>
        <xdr:sp macro="" textlink="">
          <xdr:nvSpPr>
            <xdr:cNvPr id="20497" name="Check Box 17" hidden="1">
              <a:extLst>
                <a:ext uri="{63B3BB69-23CF-44E3-9099-C40C66FF867C}">
                  <a14:compatExt spid="_x0000_s20497"/>
                </a:ext>
                <a:ext uri="{FF2B5EF4-FFF2-40B4-BE49-F238E27FC236}">
                  <a16:creationId xmlns:a16="http://schemas.microsoft.com/office/drawing/2014/main" id="{00000000-0008-0000-0C00-000011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22</xdr:row>
          <xdr:rowOff>0</xdr:rowOff>
        </xdr:from>
        <xdr:to>
          <xdr:col>10</xdr:col>
          <xdr:colOff>76200</xdr:colOff>
          <xdr:row>23</xdr:row>
          <xdr:rowOff>0</xdr:rowOff>
        </xdr:to>
        <xdr:sp macro="" textlink="">
          <xdr:nvSpPr>
            <xdr:cNvPr id="20498" name="Check Box 18" hidden="1">
              <a:extLst>
                <a:ext uri="{63B3BB69-23CF-44E3-9099-C40C66FF867C}">
                  <a14:compatExt spid="_x0000_s20498"/>
                </a:ext>
                <a:ext uri="{FF2B5EF4-FFF2-40B4-BE49-F238E27FC236}">
                  <a16:creationId xmlns:a16="http://schemas.microsoft.com/office/drawing/2014/main" id="{00000000-0008-0000-0C00-000012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32</xdr:row>
          <xdr:rowOff>9525</xdr:rowOff>
        </xdr:from>
        <xdr:to>
          <xdr:col>1</xdr:col>
          <xdr:colOff>0</xdr:colOff>
          <xdr:row>39</xdr:row>
          <xdr:rowOff>9525</xdr:rowOff>
        </xdr:to>
        <xdr:sp macro="" textlink="">
          <xdr:nvSpPr>
            <xdr:cNvPr id="20499" name="Group Box 19" hidden="1">
              <a:extLst>
                <a:ext uri="{63B3BB69-23CF-44E3-9099-C40C66FF867C}">
                  <a14:compatExt spid="_x0000_s20499"/>
                </a:ext>
                <a:ext uri="{FF2B5EF4-FFF2-40B4-BE49-F238E27FC236}">
                  <a16:creationId xmlns:a16="http://schemas.microsoft.com/office/drawing/2014/main" id="{00000000-0008-0000-0C00-0000135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42</xdr:row>
          <xdr:rowOff>0</xdr:rowOff>
        </xdr:from>
        <xdr:to>
          <xdr:col>1</xdr:col>
          <xdr:colOff>9525</xdr:colOff>
          <xdr:row>57</xdr:row>
          <xdr:rowOff>152400</xdr:rowOff>
        </xdr:to>
        <xdr:sp macro="" textlink="">
          <xdr:nvSpPr>
            <xdr:cNvPr id="20500" name="Group Box 20" hidden="1">
              <a:extLst>
                <a:ext uri="{63B3BB69-23CF-44E3-9099-C40C66FF867C}">
                  <a14:compatExt spid="_x0000_s20500"/>
                </a:ext>
                <a:ext uri="{FF2B5EF4-FFF2-40B4-BE49-F238E27FC236}">
                  <a16:creationId xmlns:a16="http://schemas.microsoft.com/office/drawing/2014/main" id="{00000000-0008-0000-0C00-0000145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42</xdr:row>
          <xdr:rowOff>0</xdr:rowOff>
        </xdr:from>
        <xdr:to>
          <xdr:col>2</xdr:col>
          <xdr:colOff>9525</xdr:colOff>
          <xdr:row>57</xdr:row>
          <xdr:rowOff>152400</xdr:rowOff>
        </xdr:to>
        <xdr:sp macro="" textlink="">
          <xdr:nvSpPr>
            <xdr:cNvPr id="20501" name="Group Box 21" hidden="1">
              <a:extLst>
                <a:ext uri="{63B3BB69-23CF-44E3-9099-C40C66FF867C}">
                  <a14:compatExt spid="_x0000_s20501"/>
                </a:ext>
                <a:ext uri="{FF2B5EF4-FFF2-40B4-BE49-F238E27FC236}">
                  <a16:creationId xmlns:a16="http://schemas.microsoft.com/office/drawing/2014/main" id="{00000000-0008-0000-0C00-0000155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42</xdr:row>
          <xdr:rowOff>9525</xdr:rowOff>
        </xdr:from>
        <xdr:to>
          <xdr:col>0</xdr:col>
          <xdr:colOff>190500</xdr:colOff>
          <xdr:row>43</xdr:row>
          <xdr:rowOff>0</xdr:rowOff>
        </xdr:to>
        <xdr:sp macro="" textlink="">
          <xdr:nvSpPr>
            <xdr:cNvPr id="20502" name="Option Button 22" hidden="1">
              <a:extLst>
                <a:ext uri="{63B3BB69-23CF-44E3-9099-C40C66FF867C}">
                  <a14:compatExt spid="_x0000_s20502"/>
                </a:ext>
                <a:ext uri="{FF2B5EF4-FFF2-40B4-BE49-F238E27FC236}">
                  <a16:creationId xmlns:a16="http://schemas.microsoft.com/office/drawing/2014/main" id="{00000000-0008-0000-0C00-000016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47</xdr:row>
          <xdr:rowOff>9525</xdr:rowOff>
        </xdr:from>
        <xdr:to>
          <xdr:col>0</xdr:col>
          <xdr:colOff>190500</xdr:colOff>
          <xdr:row>48</xdr:row>
          <xdr:rowOff>0</xdr:rowOff>
        </xdr:to>
        <xdr:sp macro="" textlink="">
          <xdr:nvSpPr>
            <xdr:cNvPr id="20503" name="Option Button 23" hidden="1">
              <a:extLst>
                <a:ext uri="{63B3BB69-23CF-44E3-9099-C40C66FF867C}">
                  <a14:compatExt spid="_x0000_s20503"/>
                </a:ext>
                <a:ext uri="{FF2B5EF4-FFF2-40B4-BE49-F238E27FC236}">
                  <a16:creationId xmlns:a16="http://schemas.microsoft.com/office/drawing/2014/main" id="{00000000-0008-0000-0C00-000017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52</xdr:row>
          <xdr:rowOff>9525</xdr:rowOff>
        </xdr:from>
        <xdr:to>
          <xdr:col>0</xdr:col>
          <xdr:colOff>190500</xdr:colOff>
          <xdr:row>53</xdr:row>
          <xdr:rowOff>0</xdr:rowOff>
        </xdr:to>
        <xdr:sp macro="" textlink="">
          <xdr:nvSpPr>
            <xdr:cNvPr id="20504" name="Option Button 24" hidden="1">
              <a:extLst>
                <a:ext uri="{63B3BB69-23CF-44E3-9099-C40C66FF867C}">
                  <a14:compatExt spid="_x0000_s20504"/>
                </a:ext>
                <a:ext uri="{FF2B5EF4-FFF2-40B4-BE49-F238E27FC236}">
                  <a16:creationId xmlns:a16="http://schemas.microsoft.com/office/drawing/2014/main" id="{00000000-0008-0000-0C00-000018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54</xdr:row>
          <xdr:rowOff>9525</xdr:rowOff>
        </xdr:from>
        <xdr:to>
          <xdr:col>0</xdr:col>
          <xdr:colOff>190500</xdr:colOff>
          <xdr:row>55</xdr:row>
          <xdr:rowOff>0</xdr:rowOff>
        </xdr:to>
        <xdr:sp macro="" textlink="">
          <xdr:nvSpPr>
            <xdr:cNvPr id="20505" name="Option Button 25" hidden="1">
              <a:extLst>
                <a:ext uri="{63B3BB69-23CF-44E3-9099-C40C66FF867C}">
                  <a14:compatExt spid="_x0000_s20505"/>
                </a:ext>
                <a:ext uri="{FF2B5EF4-FFF2-40B4-BE49-F238E27FC236}">
                  <a16:creationId xmlns:a16="http://schemas.microsoft.com/office/drawing/2014/main" id="{00000000-0008-0000-0C00-000019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56</xdr:row>
          <xdr:rowOff>9525</xdr:rowOff>
        </xdr:from>
        <xdr:to>
          <xdr:col>0</xdr:col>
          <xdr:colOff>190500</xdr:colOff>
          <xdr:row>57</xdr:row>
          <xdr:rowOff>0</xdr:rowOff>
        </xdr:to>
        <xdr:sp macro="" textlink="">
          <xdr:nvSpPr>
            <xdr:cNvPr id="20506" name="Option Button 26" hidden="1">
              <a:extLst>
                <a:ext uri="{63B3BB69-23CF-44E3-9099-C40C66FF867C}">
                  <a14:compatExt spid="_x0000_s20506"/>
                </a:ext>
                <a:ext uri="{FF2B5EF4-FFF2-40B4-BE49-F238E27FC236}">
                  <a16:creationId xmlns:a16="http://schemas.microsoft.com/office/drawing/2014/main" id="{00000000-0008-0000-0C00-00001A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42</xdr:row>
          <xdr:rowOff>9525</xdr:rowOff>
        </xdr:from>
        <xdr:to>
          <xdr:col>1</xdr:col>
          <xdr:colOff>190500</xdr:colOff>
          <xdr:row>43</xdr:row>
          <xdr:rowOff>0</xdr:rowOff>
        </xdr:to>
        <xdr:sp macro="" textlink="">
          <xdr:nvSpPr>
            <xdr:cNvPr id="20507" name="Option Button 27" hidden="1">
              <a:extLst>
                <a:ext uri="{63B3BB69-23CF-44E3-9099-C40C66FF867C}">
                  <a14:compatExt spid="_x0000_s20507"/>
                </a:ext>
                <a:ext uri="{FF2B5EF4-FFF2-40B4-BE49-F238E27FC236}">
                  <a16:creationId xmlns:a16="http://schemas.microsoft.com/office/drawing/2014/main" id="{00000000-0008-0000-0C00-00001B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47</xdr:row>
          <xdr:rowOff>9525</xdr:rowOff>
        </xdr:from>
        <xdr:to>
          <xdr:col>1</xdr:col>
          <xdr:colOff>190500</xdr:colOff>
          <xdr:row>48</xdr:row>
          <xdr:rowOff>0</xdr:rowOff>
        </xdr:to>
        <xdr:sp macro="" textlink="">
          <xdr:nvSpPr>
            <xdr:cNvPr id="20508" name="Option Button 28" hidden="1">
              <a:extLst>
                <a:ext uri="{63B3BB69-23CF-44E3-9099-C40C66FF867C}">
                  <a14:compatExt spid="_x0000_s20508"/>
                </a:ext>
                <a:ext uri="{FF2B5EF4-FFF2-40B4-BE49-F238E27FC236}">
                  <a16:creationId xmlns:a16="http://schemas.microsoft.com/office/drawing/2014/main" id="{00000000-0008-0000-0C00-00001C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52</xdr:row>
          <xdr:rowOff>9525</xdr:rowOff>
        </xdr:from>
        <xdr:to>
          <xdr:col>1</xdr:col>
          <xdr:colOff>190500</xdr:colOff>
          <xdr:row>53</xdr:row>
          <xdr:rowOff>0</xdr:rowOff>
        </xdr:to>
        <xdr:sp macro="" textlink="">
          <xdr:nvSpPr>
            <xdr:cNvPr id="20509" name="Option Button 29" hidden="1">
              <a:extLst>
                <a:ext uri="{63B3BB69-23CF-44E3-9099-C40C66FF867C}">
                  <a14:compatExt spid="_x0000_s20509"/>
                </a:ext>
                <a:ext uri="{FF2B5EF4-FFF2-40B4-BE49-F238E27FC236}">
                  <a16:creationId xmlns:a16="http://schemas.microsoft.com/office/drawing/2014/main" id="{00000000-0008-0000-0C00-00001D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54</xdr:row>
          <xdr:rowOff>9525</xdr:rowOff>
        </xdr:from>
        <xdr:to>
          <xdr:col>1</xdr:col>
          <xdr:colOff>190500</xdr:colOff>
          <xdr:row>55</xdr:row>
          <xdr:rowOff>0</xdr:rowOff>
        </xdr:to>
        <xdr:sp macro="" textlink="">
          <xdr:nvSpPr>
            <xdr:cNvPr id="20510" name="Option Button 30" hidden="1">
              <a:extLst>
                <a:ext uri="{63B3BB69-23CF-44E3-9099-C40C66FF867C}">
                  <a14:compatExt spid="_x0000_s20510"/>
                </a:ext>
                <a:ext uri="{FF2B5EF4-FFF2-40B4-BE49-F238E27FC236}">
                  <a16:creationId xmlns:a16="http://schemas.microsoft.com/office/drawing/2014/main" id="{00000000-0008-0000-0C00-00001E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56</xdr:row>
          <xdr:rowOff>9525</xdr:rowOff>
        </xdr:from>
        <xdr:to>
          <xdr:col>1</xdr:col>
          <xdr:colOff>190500</xdr:colOff>
          <xdr:row>57</xdr:row>
          <xdr:rowOff>0</xdr:rowOff>
        </xdr:to>
        <xdr:sp macro="" textlink="">
          <xdr:nvSpPr>
            <xdr:cNvPr id="20511" name="Option Button 31" hidden="1">
              <a:extLst>
                <a:ext uri="{63B3BB69-23CF-44E3-9099-C40C66FF867C}">
                  <a14:compatExt spid="_x0000_s20511"/>
                </a:ext>
                <a:ext uri="{FF2B5EF4-FFF2-40B4-BE49-F238E27FC236}">
                  <a16:creationId xmlns:a16="http://schemas.microsoft.com/office/drawing/2014/main" id="{00000000-0008-0000-0C00-00001F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32</xdr:row>
          <xdr:rowOff>9525</xdr:rowOff>
        </xdr:from>
        <xdr:to>
          <xdr:col>0</xdr:col>
          <xdr:colOff>190500</xdr:colOff>
          <xdr:row>33</xdr:row>
          <xdr:rowOff>0</xdr:rowOff>
        </xdr:to>
        <xdr:sp macro="" textlink="">
          <xdr:nvSpPr>
            <xdr:cNvPr id="20512" name="Option Button 32" hidden="1">
              <a:extLst>
                <a:ext uri="{63B3BB69-23CF-44E3-9099-C40C66FF867C}">
                  <a14:compatExt spid="_x0000_s20512"/>
                </a:ext>
                <a:ext uri="{FF2B5EF4-FFF2-40B4-BE49-F238E27FC236}">
                  <a16:creationId xmlns:a16="http://schemas.microsoft.com/office/drawing/2014/main" id="{00000000-0008-0000-0C00-000020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37</xdr:row>
          <xdr:rowOff>9525</xdr:rowOff>
        </xdr:from>
        <xdr:to>
          <xdr:col>0</xdr:col>
          <xdr:colOff>190500</xdr:colOff>
          <xdr:row>38</xdr:row>
          <xdr:rowOff>0</xdr:rowOff>
        </xdr:to>
        <xdr:sp macro="" textlink="">
          <xdr:nvSpPr>
            <xdr:cNvPr id="20513" name="Option Button 33" hidden="1">
              <a:extLst>
                <a:ext uri="{63B3BB69-23CF-44E3-9099-C40C66FF867C}">
                  <a14:compatExt spid="_x0000_s20513"/>
                </a:ext>
                <a:ext uri="{FF2B5EF4-FFF2-40B4-BE49-F238E27FC236}">
                  <a16:creationId xmlns:a16="http://schemas.microsoft.com/office/drawing/2014/main" id="{00000000-0008-0000-0C00-000021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38</xdr:row>
          <xdr:rowOff>9525</xdr:rowOff>
        </xdr:from>
        <xdr:to>
          <xdr:col>0</xdr:col>
          <xdr:colOff>190500</xdr:colOff>
          <xdr:row>39</xdr:row>
          <xdr:rowOff>0</xdr:rowOff>
        </xdr:to>
        <xdr:sp macro="" textlink="">
          <xdr:nvSpPr>
            <xdr:cNvPr id="20514" name="Option Button 34" hidden="1">
              <a:extLst>
                <a:ext uri="{63B3BB69-23CF-44E3-9099-C40C66FF867C}">
                  <a14:compatExt spid="_x0000_s20514"/>
                </a:ext>
                <a:ext uri="{FF2B5EF4-FFF2-40B4-BE49-F238E27FC236}">
                  <a16:creationId xmlns:a16="http://schemas.microsoft.com/office/drawing/2014/main" id="{00000000-0008-0000-0C00-000022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11</xdr:row>
          <xdr:rowOff>0</xdr:rowOff>
        </xdr:from>
        <xdr:to>
          <xdr:col>10</xdr:col>
          <xdr:colOff>76200</xdr:colOff>
          <xdr:row>12</xdr:row>
          <xdr:rowOff>0</xdr:rowOff>
        </xdr:to>
        <xdr:sp macro="" textlink="">
          <xdr:nvSpPr>
            <xdr:cNvPr id="20515" name="Check Box 35" hidden="1">
              <a:extLst>
                <a:ext uri="{63B3BB69-23CF-44E3-9099-C40C66FF867C}">
                  <a14:compatExt spid="_x0000_s20515"/>
                </a:ext>
                <a:ext uri="{FF2B5EF4-FFF2-40B4-BE49-F238E27FC236}">
                  <a16:creationId xmlns:a16="http://schemas.microsoft.com/office/drawing/2014/main" id="{00000000-0008-0000-0C00-000023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12</xdr:row>
          <xdr:rowOff>0</xdr:rowOff>
        </xdr:from>
        <xdr:to>
          <xdr:col>10</xdr:col>
          <xdr:colOff>76200</xdr:colOff>
          <xdr:row>13</xdr:row>
          <xdr:rowOff>0</xdr:rowOff>
        </xdr:to>
        <xdr:sp macro="" textlink="">
          <xdr:nvSpPr>
            <xdr:cNvPr id="20516" name="Check Box 36" hidden="1">
              <a:extLst>
                <a:ext uri="{63B3BB69-23CF-44E3-9099-C40C66FF867C}">
                  <a14:compatExt spid="_x0000_s20516"/>
                </a:ext>
                <a:ext uri="{FF2B5EF4-FFF2-40B4-BE49-F238E27FC236}">
                  <a16:creationId xmlns:a16="http://schemas.microsoft.com/office/drawing/2014/main" id="{00000000-0008-0000-0C00-000024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13</xdr:row>
          <xdr:rowOff>0</xdr:rowOff>
        </xdr:from>
        <xdr:to>
          <xdr:col>10</xdr:col>
          <xdr:colOff>76200</xdr:colOff>
          <xdr:row>14</xdr:row>
          <xdr:rowOff>0</xdr:rowOff>
        </xdr:to>
        <xdr:sp macro="" textlink="">
          <xdr:nvSpPr>
            <xdr:cNvPr id="20517" name="Check Box 37" hidden="1">
              <a:extLst>
                <a:ext uri="{63B3BB69-23CF-44E3-9099-C40C66FF867C}">
                  <a14:compatExt spid="_x0000_s20517"/>
                </a:ext>
                <a:ext uri="{FF2B5EF4-FFF2-40B4-BE49-F238E27FC236}">
                  <a16:creationId xmlns:a16="http://schemas.microsoft.com/office/drawing/2014/main" id="{00000000-0008-0000-0C00-000025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14</xdr:row>
          <xdr:rowOff>0</xdr:rowOff>
        </xdr:from>
        <xdr:to>
          <xdr:col>10</xdr:col>
          <xdr:colOff>76200</xdr:colOff>
          <xdr:row>15</xdr:row>
          <xdr:rowOff>0</xdr:rowOff>
        </xdr:to>
        <xdr:sp macro="" textlink="">
          <xdr:nvSpPr>
            <xdr:cNvPr id="20518" name="Check Box 38" hidden="1">
              <a:extLst>
                <a:ext uri="{63B3BB69-23CF-44E3-9099-C40C66FF867C}">
                  <a14:compatExt spid="_x0000_s20518"/>
                </a:ext>
                <a:ext uri="{FF2B5EF4-FFF2-40B4-BE49-F238E27FC236}">
                  <a16:creationId xmlns:a16="http://schemas.microsoft.com/office/drawing/2014/main" id="{00000000-0008-0000-0C00-000026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15</xdr:row>
          <xdr:rowOff>0</xdr:rowOff>
        </xdr:from>
        <xdr:to>
          <xdr:col>10</xdr:col>
          <xdr:colOff>76200</xdr:colOff>
          <xdr:row>16</xdr:row>
          <xdr:rowOff>0</xdr:rowOff>
        </xdr:to>
        <xdr:sp macro="" textlink="">
          <xdr:nvSpPr>
            <xdr:cNvPr id="20519" name="Check Box 39" hidden="1">
              <a:extLst>
                <a:ext uri="{63B3BB69-23CF-44E3-9099-C40C66FF867C}">
                  <a14:compatExt spid="_x0000_s20519"/>
                </a:ext>
                <a:ext uri="{FF2B5EF4-FFF2-40B4-BE49-F238E27FC236}">
                  <a16:creationId xmlns:a16="http://schemas.microsoft.com/office/drawing/2014/main" id="{00000000-0008-0000-0C00-000027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16</xdr:row>
          <xdr:rowOff>0</xdr:rowOff>
        </xdr:from>
        <xdr:to>
          <xdr:col>10</xdr:col>
          <xdr:colOff>76200</xdr:colOff>
          <xdr:row>17</xdr:row>
          <xdr:rowOff>0</xdr:rowOff>
        </xdr:to>
        <xdr:sp macro="" textlink="">
          <xdr:nvSpPr>
            <xdr:cNvPr id="20520" name="Check Box 40" hidden="1">
              <a:extLst>
                <a:ext uri="{63B3BB69-23CF-44E3-9099-C40C66FF867C}">
                  <a14:compatExt spid="_x0000_s20520"/>
                </a:ext>
                <a:ext uri="{FF2B5EF4-FFF2-40B4-BE49-F238E27FC236}">
                  <a16:creationId xmlns:a16="http://schemas.microsoft.com/office/drawing/2014/main" id="{00000000-0008-0000-0C00-000028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17</xdr:row>
          <xdr:rowOff>0</xdr:rowOff>
        </xdr:from>
        <xdr:to>
          <xdr:col>10</xdr:col>
          <xdr:colOff>76200</xdr:colOff>
          <xdr:row>18</xdr:row>
          <xdr:rowOff>0</xdr:rowOff>
        </xdr:to>
        <xdr:sp macro="" textlink="">
          <xdr:nvSpPr>
            <xdr:cNvPr id="20521" name="Check Box 41" hidden="1">
              <a:extLst>
                <a:ext uri="{63B3BB69-23CF-44E3-9099-C40C66FF867C}">
                  <a14:compatExt spid="_x0000_s20521"/>
                </a:ext>
                <a:ext uri="{FF2B5EF4-FFF2-40B4-BE49-F238E27FC236}">
                  <a16:creationId xmlns:a16="http://schemas.microsoft.com/office/drawing/2014/main" id="{00000000-0008-0000-0C00-000029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18</xdr:row>
          <xdr:rowOff>0</xdr:rowOff>
        </xdr:from>
        <xdr:to>
          <xdr:col>10</xdr:col>
          <xdr:colOff>76200</xdr:colOff>
          <xdr:row>19</xdr:row>
          <xdr:rowOff>0</xdr:rowOff>
        </xdr:to>
        <xdr:sp macro="" textlink="">
          <xdr:nvSpPr>
            <xdr:cNvPr id="20522" name="Check Box 42" hidden="1">
              <a:extLst>
                <a:ext uri="{63B3BB69-23CF-44E3-9099-C40C66FF867C}">
                  <a14:compatExt spid="_x0000_s20522"/>
                </a:ext>
                <a:ext uri="{FF2B5EF4-FFF2-40B4-BE49-F238E27FC236}">
                  <a16:creationId xmlns:a16="http://schemas.microsoft.com/office/drawing/2014/main" id="{00000000-0008-0000-0C00-00002A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19</xdr:row>
          <xdr:rowOff>0</xdr:rowOff>
        </xdr:from>
        <xdr:to>
          <xdr:col>10</xdr:col>
          <xdr:colOff>76200</xdr:colOff>
          <xdr:row>20</xdr:row>
          <xdr:rowOff>0</xdr:rowOff>
        </xdr:to>
        <xdr:sp macro="" textlink="">
          <xdr:nvSpPr>
            <xdr:cNvPr id="20523" name="Check Box 43" hidden="1">
              <a:extLst>
                <a:ext uri="{63B3BB69-23CF-44E3-9099-C40C66FF867C}">
                  <a14:compatExt spid="_x0000_s20523"/>
                </a:ext>
                <a:ext uri="{FF2B5EF4-FFF2-40B4-BE49-F238E27FC236}">
                  <a16:creationId xmlns:a16="http://schemas.microsoft.com/office/drawing/2014/main" id="{00000000-0008-0000-0C00-00002B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20</xdr:row>
          <xdr:rowOff>0</xdr:rowOff>
        </xdr:from>
        <xdr:to>
          <xdr:col>10</xdr:col>
          <xdr:colOff>76200</xdr:colOff>
          <xdr:row>21</xdr:row>
          <xdr:rowOff>0</xdr:rowOff>
        </xdr:to>
        <xdr:sp macro="" textlink="">
          <xdr:nvSpPr>
            <xdr:cNvPr id="20524" name="Check Box 44" hidden="1">
              <a:extLst>
                <a:ext uri="{63B3BB69-23CF-44E3-9099-C40C66FF867C}">
                  <a14:compatExt spid="_x0000_s20524"/>
                </a:ext>
                <a:ext uri="{FF2B5EF4-FFF2-40B4-BE49-F238E27FC236}">
                  <a16:creationId xmlns:a16="http://schemas.microsoft.com/office/drawing/2014/main" id="{00000000-0008-0000-0C00-00002C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21</xdr:row>
          <xdr:rowOff>0</xdr:rowOff>
        </xdr:from>
        <xdr:to>
          <xdr:col>10</xdr:col>
          <xdr:colOff>76200</xdr:colOff>
          <xdr:row>22</xdr:row>
          <xdr:rowOff>0</xdr:rowOff>
        </xdr:to>
        <xdr:sp macro="" textlink="">
          <xdr:nvSpPr>
            <xdr:cNvPr id="20525" name="Check Box 45" hidden="1">
              <a:extLst>
                <a:ext uri="{63B3BB69-23CF-44E3-9099-C40C66FF867C}">
                  <a14:compatExt spid="_x0000_s20525"/>
                </a:ext>
                <a:ext uri="{FF2B5EF4-FFF2-40B4-BE49-F238E27FC236}">
                  <a16:creationId xmlns:a16="http://schemas.microsoft.com/office/drawing/2014/main" id="{00000000-0008-0000-0C00-00002D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editAs="oneCell">
    <xdr:from>
      <xdr:col>21</xdr:col>
      <xdr:colOff>57149</xdr:colOff>
      <xdr:row>0</xdr:row>
      <xdr:rowOff>57150</xdr:rowOff>
    </xdr:from>
    <xdr:to>
      <xdr:col>30</xdr:col>
      <xdr:colOff>561974</xdr:colOff>
      <xdr:row>57</xdr:row>
      <xdr:rowOff>116327</xdr:rowOff>
    </xdr:to>
    <xdr:pic>
      <xdr:nvPicPr>
        <xdr:cNvPr id="66" name="Picture 65">
          <a:extLst>
            <a:ext uri="{FF2B5EF4-FFF2-40B4-BE49-F238E27FC236}">
              <a16:creationId xmlns:a16="http://schemas.microsoft.com/office/drawing/2014/main" id="{00000000-0008-0000-0C00-00004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29324" y="57150"/>
          <a:ext cx="5781675" cy="8907902"/>
        </a:xfrm>
        <a:prstGeom prst="rect">
          <a:avLst/>
        </a:prstGeom>
      </xdr:spPr>
    </xdr:pic>
    <xdr:clientData/>
  </xdr:twoCellAnchor>
  <xdr:twoCellAnchor>
    <xdr:from>
      <xdr:col>21</xdr:col>
      <xdr:colOff>123825</xdr:colOff>
      <xdr:row>6</xdr:row>
      <xdr:rowOff>152400</xdr:rowOff>
    </xdr:from>
    <xdr:to>
      <xdr:col>24</xdr:col>
      <xdr:colOff>257175</xdr:colOff>
      <xdr:row>46</xdr:row>
      <xdr:rowOff>57150</xdr:rowOff>
    </xdr:to>
    <xdr:grpSp>
      <xdr:nvGrpSpPr>
        <xdr:cNvPr id="67" name="Group 66">
          <a:extLst>
            <a:ext uri="{FF2B5EF4-FFF2-40B4-BE49-F238E27FC236}">
              <a16:creationId xmlns:a16="http://schemas.microsoft.com/office/drawing/2014/main" id="{00000000-0008-0000-0C00-000043000000}"/>
            </a:ext>
          </a:extLst>
        </xdr:cNvPr>
        <xdr:cNvGrpSpPr/>
      </xdr:nvGrpSpPr>
      <xdr:grpSpPr>
        <a:xfrm>
          <a:off x="6096000" y="1085850"/>
          <a:ext cx="1752600" cy="6038850"/>
          <a:chOff x="5772150" y="990600"/>
          <a:chExt cx="1752600" cy="6038850"/>
        </a:xfrm>
      </xdr:grpSpPr>
      <xdr:sp macro="" textlink="">
        <xdr:nvSpPr>
          <xdr:cNvPr id="68" name="TextBox 67">
            <a:extLst>
              <a:ext uri="{FF2B5EF4-FFF2-40B4-BE49-F238E27FC236}">
                <a16:creationId xmlns:a16="http://schemas.microsoft.com/office/drawing/2014/main" id="{00000000-0008-0000-0C00-000044000000}"/>
              </a:ext>
            </a:extLst>
          </xdr:cNvPr>
          <xdr:cNvSpPr txBox="1"/>
        </xdr:nvSpPr>
        <xdr:spPr>
          <a:xfrm>
            <a:off x="5781675" y="5915025"/>
            <a:ext cx="174307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1"/>
              <a:t>Character </a:t>
            </a:r>
            <a:r>
              <a:rPr lang="en-US" sz="1000" b="1" i="1"/>
              <a:t>(Printer</a:t>
            </a:r>
            <a:r>
              <a:rPr lang="en-US" sz="1000" b="1" i="1" baseline="0"/>
              <a:t> Friendly)</a:t>
            </a:r>
            <a:r>
              <a:rPr lang="en-US" sz="1100" b="1" i="1"/>
              <a:t>:</a:t>
            </a:r>
          </a:p>
        </xdr:txBody>
      </xdr:sp>
      <xdr:sp macro="" textlink="">
        <xdr:nvSpPr>
          <xdr:cNvPr id="69" name="TextBox 68">
            <a:extLst>
              <a:ext uri="{FF2B5EF4-FFF2-40B4-BE49-F238E27FC236}">
                <a16:creationId xmlns:a16="http://schemas.microsoft.com/office/drawing/2014/main" id="{00000000-0008-0000-0C00-000045000000}"/>
              </a:ext>
            </a:extLst>
          </xdr:cNvPr>
          <xdr:cNvSpPr txBox="1"/>
        </xdr:nvSpPr>
        <xdr:spPr>
          <a:xfrm>
            <a:off x="5781675" y="4629150"/>
            <a:ext cx="174307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1"/>
              <a:t>Character Building:</a:t>
            </a:r>
          </a:p>
        </xdr:txBody>
      </xdr:sp>
      <xdr:sp macro="" textlink="">
        <xdr:nvSpPr>
          <xdr:cNvPr id="70" name="TextBox 69">
            <a:extLst>
              <a:ext uri="{FF2B5EF4-FFF2-40B4-BE49-F238E27FC236}">
                <a16:creationId xmlns:a16="http://schemas.microsoft.com/office/drawing/2014/main" id="{00000000-0008-0000-0C00-000046000000}"/>
              </a:ext>
            </a:extLst>
          </xdr:cNvPr>
          <xdr:cNvSpPr txBox="1"/>
        </xdr:nvSpPr>
        <xdr:spPr>
          <a:xfrm>
            <a:off x="5772150" y="2590800"/>
            <a:ext cx="174307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1"/>
              <a:t>Character</a:t>
            </a:r>
            <a:r>
              <a:rPr lang="en-US" sz="1100" b="1" i="1" baseline="0"/>
              <a:t> Information</a:t>
            </a:r>
            <a:r>
              <a:rPr lang="en-US" sz="1100" b="1" i="1"/>
              <a:t>:</a:t>
            </a:r>
          </a:p>
        </xdr:txBody>
      </xdr:sp>
      <xdr:sp macro="" textlink="">
        <xdr:nvSpPr>
          <xdr:cNvPr id="71" name="TextBox 70">
            <a:hlinkClick xmlns:r="http://schemas.openxmlformats.org/officeDocument/2006/relationships" r:id="rId2"/>
            <a:extLst>
              <a:ext uri="{FF2B5EF4-FFF2-40B4-BE49-F238E27FC236}">
                <a16:creationId xmlns:a16="http://schemas.microsoft.com/office/drawing/2014/main" id="{00000000-0008-0000-0C00-000047000000}"/>
              </a:ext>
            </a:extLst>
          </xdr:cNvPr>
          <xdr:cNvSpPr txBox="1"/>
        </xdr:nvSpPr>
        <xdr:spPr>
          <a:xfrm>
            <a:off x="5772150" y="2867025"/>
            <a:ext cx="174307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u="sng">
                <a:solidFill>
                  <a:srgbClr val="0594FF"/>
                </a:solidFill>
              </a:rPr>
              <a:t>Character Sheet </a:t>
            </a:r>
            <a:r>
              <a:rPr lang="en-US" sz="1000" b="0" u="sng">
                <a:solidFill>
                  <a:srgbClr val="0594FF"/>
                </a:solidFill>
              </a:rPr>
              <a:t>(main)</a:t>
            </a:r>
          </a:p>
        </xdr:txBody>
      </xdr:sp>
      <xdr:sp macro="" textlink="">
        <xdr:nvSpPr>
          <xdr:cNvPr id="72" name="TextBox 71">
            <a:hlinkClick xmlns:r="http://schemas.openxmlformats.org/officeDocument/2006/relationships" r:id="rId3"/>
            <a:extLst>
              <a:ext uri="{FF2B5EF4-FFF2-40B4-BE49-F238E27FC236}">
                <a16:creationId xmlns:a16="http://schemas.microsoft.com/office/drawing/2014/main" id="{00000000-0008-0000-0C00-000048000000}"/>
              </a:ext>
            </a:extLst>
          </xdr:cNvPr>
          <xdr:cNvSpPr txBox="1"/>
        </xdr:nvSpPr>
        <xdr:spPr>
          <a:xfrm>
            <a:off x="5772150" y="3143250"/>
            <a:ext cx="174307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u="sng">
                <a:solidFill>
                  <a:srgbClr val="0594FF"/>
                </a:solidFill>
              </a:rPr>
              <a:t>Magic &amp; Psionics</a:t>
            </a:r>
          </a:p>
        </xdr:txBody>
      </xdr:sp>
      <xdr:sp macro="" textlink="">
        <xdr:nvSpPr>
          <xdr:cNvPr id="73" name="TextBox 72">
            <a:hlinkClick xmlns:r="http://schemas.openxmlformats.org/officeDocument/2006/relationships" r:id="rId4"/>
            <a:extLst>
              <a:ext uri="{FF2B5EF4-FFF2-40B4-BE49-F238E27FC236}">
                <a16:creationId xmlns:a16="http://schemas.microsoft.com/office/drawing/2014/main" id="{00000000-0008-0000-0C00-000049000000}"/>
              </a:ext>
            </a:extLst>
          </xdr:cNvPr>
          <xdr:cNvSpPr txBox="1"/>
        </xdr:nvSpPr>
        <xdr:spPr>
          <a:xfrm>
            <a:off x="5772150" y="3419475"/>
            <a:ext cx="174307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u="sng">
                <a:solidFill>
                  <a:srgbClr val="0594FF"/>
                </a:solidFill>
              </a:rPr>
              <a:t>Combat Sheet</a:t>
            </a:r>
          </a:p>
        </xdr:txBody>
      </xdr:sp>
      <xdr:sp macro="" textlink="">
        <xdr:nvSpPr>
          <xdr:cNvPr id="74" name="TextBox 73">
            <a:hlinkClick xmlns:r="http://schemas.openxmlformats.org/officeDocument/2006/relationships" r:id="rId5"/>
            <a:extLst>
              <a:ext uri="{FF2B5EF4-FFF2-40B4-BE49-F238E27FC236}">
                <a16:creationId xmlns:a16="http://schemas.microsoft.com/office/drawing/2014/main" id="{00000000-0008-0000-0C00-00004A000000}"/>
              </a:ext>
            </a:extLst>
          </xdr:cNvPr>
          <xdr:cNvSpPr txBox="1"/>
        </xdr:nvSpPr>
        <xdr:spPr>
          <a:xfrm>
            <a:off x="5781675" y="4905375"/>
            <a:ext cx="174307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u="sng">
                <a:solidFill>
                  <a:srgbClr val="0594FF"/>
                </a:solidFill>
              </a:rPr>
              <a:t>Worktable </a:t>
            </a:r>
            <a:r>
              <a:rPr lang="en-US" sz="1000" b="0" u="sng">
                <a:solidFill>
                  <a:srgbClr val="0594FF"/>
                </a:solidFill>
              </a:rPr>
              <a:t>(Scratch Paper)</a:t>
            </a:r>
          </a:p>
        </xdr:txBody>
      </xdr:sp>
      <xdr:sp macro="" textlink="">
        <xdr:nvSpPr>
          <xdr:cNvPr id="75" name="TextBox 74">
            <a:hlinkClick xmlns:r="http://schemas.openxmlformats.org/officeDocument/2006/relationships" r:id="rId6"/>
            <a:extLst>
              <a:ext uri="{FF2B5EF4-FFF2-40B4-BE49-F238E27FC236}">
                <a16:creationId xmlns:a16="http://schemas.microsoft.com/office/drawing/2014/main" id="{00000000-0008-0000-0C00-00004B000000}"/>
              </a:ext>
            </a:extLst>
          </xdr:cNvPr>
          <xdr:cNvSpPr txBox="1"/>
        </xdr:nvSpPr>
        <xdr:spPr>
          <a:xfrm>
            <a:off x="5781675" y="5181600"/>
            <a:ext cx="174307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u="sng">
                <a:solidFill>
                  <a:srgbClr val="0594FF"/>
                </a:solidFill>
              </a:rPr>
              <a:t>Skills Selection</a:t>
            </a:r>
          </a:p>
        </xdr:txBody>
      </xdr:sp>
      <xdr:sp macro="" textlink="">
        <xdr:nvSpPr>
          <xdr:cNvPr id="76" name="TextBox 75">
            <a:hlinkClick xmlns:r="http://schemas.openxmlformats.org/officeDocument/2006/relationships" r:id="rId7"/>
            <a:extLst>
              <a:ext uri="{FF2B5EF4-FFF2-40B4-BE49-F238E27FC236}">
                <a16:creationId xmlns:a16="http://schemas.microsoft.com/office/drawing/2014/main" id="{00000000-0008-0000-0C00-00004C000000}"/>
              </a:ext>
            </a:extLst>
          </xdr:cNvPr>
          <xdr:cNvSpPr txBox="1"/>
        </xdr:nvSpPr>
        <xdr:spPr>
          <a:xfrm>
            <a:off x="5781675" y="5457825"/>
            <a:ext cx="174307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u="sng">
                <a:solidFill>
                  <a:srgbClr val="0594FF"/>
                </a:solidFill>
              </a:rPr>
              <a:t>Customize</a:t>
            </a:r>
          </a:p>
        </xdr:txBody>
      </xdr:sp>
      <xdr:sp macro="" textlink="">
        <xdr:nvSpPr>
          <xdr:cNvPr id="77" name="TextBox 76">
            <a:hlinkClick xmlns:r="http://schemas.openxmlformats.org/officeDocument/2006/relationships" r:id="rId8"/>
            <a:extLst>
              <a:ext uri="{FF2B5EF4-FFF2-40B4-BE49-F238E27FC236}">
                <a16:creationId xmlns:a16="http://schemas.microsoft.com/office/drawing/2014/main" id="{00000000-0008-0000-0C00-00004D000000}"/>
              </a:ext>
            </a:extLst>
          </xdr:cNvPr>
          <xdr:cNvSpPr txBox="1"/>
        </xdr:nvSpPr>
        <xdr:spPr>
          <a:xfrm>
            <a:off x="5781675" y="6200775"/>
            <a:ext cx="174307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u="sng">
                <a:solidFill>
                  <a:srgbClr val="0594FF"/>
                </a:solidFill>
              </a:rPr>
              <a:t>Character Sheet </a:t>
            </a:r>
            <a:r>
              <a:rPr lang="en-US" sz="1000" b="0" u="sng">
                <a:solidFill>
                  <a:srgbClr val="0594FF"/>
                </a:solidFill>
              </a:rPr>
              <a:t>(main)</a:t>
            </a:r>
          </a:p>
        </xdr:txBody>
      </xdr:sp>
      <xdr:sp macro="" textlink="">
        <xdr:nvSpPr>
          <xdr:cNvPr id="78" name="TextBox 77">
            <a:hlinkClick xmlns:r="http://schemas.openxmlformats.org/officeDocument/2006/relationships" r:id="rId9"/>
            <a:extLst>
              <a:ext uri="{FF2B5EF4-FFF2-40B4-BE49-F238E27FC236}">
                <a16:creationId xmlns:a16="http://schemas.microsoft.com/office/drawing/2014/main" id="{00000000-0008-0000-0C00-00004E000000}"/>
              </a:ext>
            </a:extLst>
          </xdr:cNvPr>
          <xdr:cNvSpPr txBox="1"/>
        </xdr:nvSpPr>
        <xdr:spPr>
          <a:xfrm>
            <a:off x="5781675" y="6486525"/>
            <a:ext cx="174307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u="sng">
                <a:solidFill>
                  <a:srgbClr val="0594FF"/>
                </a:solidFill>
              </a:rPr>
              <a:t>Magic &amp; Psionics</a:t>
            </a:r>
          </a:p>
        </xdr:txBody>
      </xdr:sp>
      <xdr:sp macro="" textlink="">
        <xdr:nvSpPr>
          <xdr:cNvPr id="79" name="TextBox 78">
            <a:hlinkClick xmlns:r="http://schemas.openxmlformats.org/officeDocument/2006/relationships" r:id="rId10"/>
            <a:extLst>
              <a:ext uri="{FF2B5EF4-FFF2-40B4-BE49-F238E27FC236}">
                <a16:creationId xmlns:a16="http://schemas.microsoft.com/office/drawing/2014/main" id="{00000000-0008-0000-0C00-00004F000000}"/>
              </a:ext>
            </a:extLst>
          </xdr:cNvPr>
          <xdr:cNvSpPr txBox="1"/>
        </xdr:nvSpPr>
        <xdr:spPr>
          <a:xfrm>
            <a:off x="5781675" y="6772275"/>
            <a:ext cx="174307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u="sng">
                <a:solidFill>
                  <a:srgbClr val="0594FF"/>
                </a:solidFill>
              </a:rPr>
              <a:t>Combat Sheet</a:t>
            </a:r>
          </a:p>
        </xdr:txBody>
      </xdr:sp>
      <xdr:sp macro="" textlink="">
        <xdr:nvSpPr>
          <xdr:cNvPr id="80" name="TextBox 79">
            <a:extLst>
              <a:ext uri="{FF2B5EF4-FFF2-40B4-BE49-F238E27FC236}">
                <a16:creationId xmlns:a16="http://schemas.microsoft.com/office/drawing/2014/main" id="{00000000-0008-0000-0C00-000050000000}"/>
              </a:ext>
            </a:extLst>
          </xdr:cNvPr>
          <xdr:cNvSpPr txBox="1"/>
        </xdr:nvSpPr>
        <xdr:spPr>
          <a:xfrm>
            <a:off x="5781675" y="990600"/>
            <a:ext cx="174307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1"/>
              <a:t>Introduction:</a:t>
            </a:r>
          </a:p>
        </xdr:txBody>
      </xdr:sp>
      <xdr:sp macro="" textlink="">
        <xdr:nvSpPr>
          <xdr:cNvPr id="81" name="TextBox 80">
            <a:hlinkClick xmlns:r="http://schemas.openxmlformats.org/officeDocument/2006/relationships" r:id="rId11"/>
            <a:extLst>
              <a:ext uri="{FF2B5EF4-FFF2-40B4-BE49-F238E27FC236}">
                <a16:creationId xmlns:a16="http://schemas.microsoft.com/office/drawing/2014/main" id="{00000000-0008-0000-0C00-000051000000}"/>
              </a:ext>
            </a:extLst>
          </xdr:cNvPr>
          <xdr:cNvSpPr txBox="1"/>
        </xdr:nvSpPr>
        <xdr:spPr>
          <a:xfrm>
            <a:off x="5781675" y="1266825"/>
            <a:ext cx="174307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u="sng">
                <a:solidFill>
                  <a:srgbClr val="0594FF"/>
                </a:solidFill>
              </a:rPr>
              <a:t>Cover Page</a:t>
            </a:r>
          </a:p>
        </xdr:txBody>
      </xdr:sp>
      <xdr:sp macro="" textlink="">
        <xdr:nvSpPr>
          <xdr:cNvPr id="82" name="TextBox 81">
            <a:hlinkClick xmlns:r="http://schemas.openxmlformats.org/officeDocument/2006/relationships" r:id="rId12"/>
            <a:extLst>
              <a:ext uri="{FF2B5EF4-FFF2-40B4-BE49-F238E27FC236}">
                <a16:creationId xmlns:a16="http://schemas.microsoft.com/office/drawing/2014/main" id="{00000000-0008-0000-0C00-000052000000}"/>
              </a:ext>
            </a:extLst>
          </xdr:cNvPr>
          <xdr:cNvSpPr txBox="1"/>
        </xdr:nvSpPr>
        <xdr:spPr>
          <a:xfrm>
            <a:off x="5781675" y="1543050"/>
            <a:ext cx="174307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u="sng">
                <a:solidFill>
                  <a:srgbClr val="0594FF"/>
                </a:solidFill>
              </a:rPr>
              <a:t>Instructions</a:t>
            </a:r>
          </a:p>
        </xdr:txBody>
      </xdr:sp>
      <xdr:sp macro="" textlink="">
        <xdr:nvSpPr>
          <xdr:cNvPr id="83" name="TextBox 82">
            <a:hlinkClick xmlns:r="http://schemas.openxmlformats.org/officeDocument/2006/relationships" r:id="rId13"/>
            <a:extLst>
              <a:ext uri="{FF2B5EF4-FFF2-40B4-BE49-F238E27FC236}">
                <a16:creationId xmlns:a16="http://schemas.microsoft.com/office/drawing/2014/main" id="{00000000-0008-0000-0C00-000053000000}"/>
              </a:ext>
            </a:extLst>
          </xdr:cNvPr>
          <xdr:cNvSpPr txBox="1"/>
        </xdr:nvSpPr>
        <xdr:spPr>
          <a:xfrm>
            <a:off x="5781675" y="1819275"/>
            <a:ext cx="174307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u="sng">
                <a:solidFill>
                  <a:srgbClr val="0594FF"/>
                </a:solidFill>
              </a:rPr>
              <a:t>Legal Information</a:t>
            </a:r>
          </a:p>
        </xdr:txBody>
      </xdr:sp>
      <xdr:sp macro="" textlink="">
        <xdr:nvSpPr>
          <xdr:cNvPr id="84" name="TextBox 83">
            <a:hlinkClick xmlns:r="http://schemas.openxmlformats.org/officeDocument/2006/relationships" r:id="rId14"/>
            <a:extLst>
              <a:ext uri="{FF2B5EF4-FFF2-40B4-BE49-F238E27FC236}">
                <a16:creationId xmlns:a16="http://schemas.microsoft.com/office/drawing/2014/main" id="{00000000-0008-0000-0C00-000054000000}"/>
              </a:ext>
            </a:extLst>
          </xdr:cNvPr>
          <xdr:cNvSpPr txBox="1"/>
        </xdr:nvSpPr>
        <xdr:spPr>
          <a:xfrm>
            <a:off x="5781675" y="2095500"/>
            <a:ext cx="174307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u="sng">
                <a:solidFill>
                  <a:srgbClr val="0594FF"/>
                </a:solidFill>
              </a:rPr>
              <a:t>Editor's Notes</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57150</xdr:colOff>
      <xdr:row>0</xdr:row>
      <xdr:rowOff>57150</xdr:rowOff>
    </xdr:from>
    <xdr:to>
      <xdr:col>9</xdr:col>
      <xdr:colOff>542925</xdr:colOff>
      <xdr:row>20</xdr:row>
      <xdr:rowOff>1123950</xdr:rowOff>
    </xdr:to>
    <xdr:pic>
      <xdr:nvPicPr>
        <xdr:cNvPr id="21" name="Picture 20">
          <a:extLst>
            <a:ext uri="{FF2B5EF4-FFF2-40B4-BE49-F238E27FC236}">
              <a16:creationId xmlns:a16="http://schemas.microsoft.com/office/drawing/2014/main" id="{00000000-0008-0000-0100-00001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72150" y="57150"/>
          <a:ext cx="5372100" cy="8429625"/>
        </a:xfrm>
        <a:prstGeom prst="rect">
          <a:avLst/>
        </a:prstGeom>
      </xdr:spPr>
    </xdr:pic>
    <xdr:clientData/>
  </xdr:twoCellAnchor>
  <xdr:twoCellAnchor>
    <xdr:from>
      <xdr:col>1</xdr:col>
      <xdr:colOff>57150</xdr:colOff>
      <xdr:row>4</xdr:row>
      <xdr:rowOff>76200</xdr:rowOff>
    </xdr:from>
    <xdr:to>
      <xdr:col>3</xdr:col>
      <xdr:colOff>581025</xdr:colOff>
      <xdr:row>18</xdr:row>
      <xdr:rowOff>476250</xdr:rowOff>
    </xdr:to>
    <xdr:grpSp>
      <xdr:nvGrpSpPr>
        <xdr:cNvPr id="49" name="Group 48">
          <a:extLst>
            <a:ext uri="{FF2B5EF4-FFF2-40B4-BE49-F238E27FC236}">
              <a16:creationId xmlns:a16="http://schemas.microsoft.com/office/drawing/2014/main" id="{00000000-0008-0000-0100-000031000000}"/>
            </a:ext>
          </a:extLst>
        </xdr:cNvPr>
        <xdr:cNvGrpSpPr/>
      </xdr:nvGrpSpPr>
      <xdr:grpSpPr>
        <a:xfrm>
          <a:off x="5772150" y="990600"/>
          <a:ext cx="1752600" cy="6038850"/>
          <a:chOff x="5772150" y="990600"/>
          <a:chExt cx="1752600" cy="6038850"/>
        </a:xfrm>
      </xdr:grpSpPr>
      <xdr:sp macro="" textlink="">
        <xdr:nvSpPr>
          <xdr:cNvPr id="29" name="TextBox 28">
            <a:extLst>
              <a:ext uri="{FF2B5EF4-FFF2-40B4-BE49-F238E27FC236}">
                <a16:creationId xmlns:a16="http://schemas.microsoft.com/office/drawing/2014/main" id="{00000000-0008-0000-0100-00001D000000}"/>
              </a:ext>
            </a:extLst>
          </xdr:cNvPr>
          <xdr:cNvSpPr txBox="1"/>
        </xdr:nvSpPr>
        <xdr:spPr>
          <a:xfrm>
            <a:off x="5781675" y="5915025"/>
            <a:ext cx="174307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1"/>
              <a:t>Character </a:t>
            </a:r>
            <a:r>
              <a:rPr lang="en-US" sz="1000" b="1" i="1"/>
              <a:t>(Printer</a:t>
            </a:r>
            <a:r>
              <a:rPr lang="en-US" sz="1000" b="1" i="1" baseline="0"/>
              <a:t> Friendly)</a:t>
            </a:r>
            <a:r>
              <a:rPr lang="en-US" sz="1100" b="1" i="1"/>
              <a:t>:</a:t>
            </a:r>
          </a:p>
        </xdr:txBody>
      </xdr:sp>
      <xdr:sp macro="" textlink="">
        <xdr:nvSpPr>
          <xdr:cNvPr id="31" name="TextBox 30">
            <a:extLst>
              <a:ext uri="{FF2B5EF4-FFF2-40B4-BE49-F238E27FC236}">
                <a16:creationId xmlns:a16="http://schemas.microsoft.com/office/drawing/2014/main" id="{00000000-0008-0000-0100-00001F000000}"/>
              </a:ext>
            </a:extLst>
          </xdr:cNvPr>
          <xdr:cNvSpPr txBox="1"/>
        </xdr:nvSpPr>
        <xdr:spPr>
          <a:xfrm>
            <a:off x="5781675" y="4629150"/>
            <a:ext cx="174307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1"/>
              <a:t>Character Building:</a:t>
            </a:r>
          </a:p>
        </xdr:txBody>
      </xdr:sp>
      <xdr:sp macro="" textlink="">
        <xdr:nvSpPr>
          <xdr:cNvPr id="32" name="TextBox 31">
            <a:extLst>
              <a:ext uri="{FF2B5EF4-FFF2-40B4-BE49-F238E27FC236}">
                <a16:creationId xmlns:a16="http://schemas.microsoft.com/office/drawing/2014/main" id="{00000000-0008-0000-0100-000020000000}"/>
              </a:ext>
            </a:extLst>
          </xdr:cNvPr>
          <xdr:cNvSpPr txBox="1"/>
        </xdr:nvSpPr>
        <xdr:spPr>
          <a:xfrm>
            <a:off x="5772150" y="2590800"/>
            <a:ext cx="174307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1"/>
              <a:t>Character</a:t>
            </a:r>
            <a:r>
              <a:rPr lang="en-US" sz="1100" b="1" i="1" baseline="0"/>
              <a:t> Information</a:t>
            </a:r>
            <a:r>
              <a:rPr lang="en-US" sz="1100" b="1" i="1"/>
              <a:t>:</a:t>
            </a:r>
          </a:p>
        </xdr:txBody>
      </xdr:sp>
      <xdr:sp macro="" textlink="">
        <xdr:nvSpPr>
          <xdr:cNvPr id="38" name="TextBox 37">
            <a:hlinkClick xmlns:r="http://schemas.openxmlformats.org/officeDocument/2006/relationships" r:id="rId2"/>
            <a:extLst>
              <a:ext uri="{FF2B5EF4-FFF2-40B4-BE49-F238E27FC236}">
                <a16:creationId xmlns:a16="http://schemas.microsoft.com/office/drawing/2014/main" id="{00000000-0008-0000-0100-000026000000}"/>
              </a:ext>
            </a:extLst>
          </xdr:cNvPr>
          <xdr:cNvSpPr txBox="1"/>
        </xdr:nvSpPr>
        <xdr:spPr>
          <a:xfrm>
            <a:off x="5772150" y="2867025"/>
            <a:ext cx="174307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u="sng">
                <a:solidFill>
                  <a:srgbClr val="0594FF"/>
                </a:solidFill>
              </a:rPr>
              <a:t>Character Sheet </a:t>
            </a:r>
            <a:r>
              <a:rPr lang="en-US" sz="1000" b="0" u="sng">
                <a:solidFill>
                  <a:srgbClr val="0594FF"/>
                </a:solidFill>
              </a:rPr>
              <a:t>(main)</a:t>
            </a:r>
          </a:p>
        </xdr:txBody>
      </xdr:sp>
      <xdr:sp macro="" textlink="">
        <xdr:nvSpPr>
          <xdr:cNvPr id="39" name="TextBox 38">
            <a:hlinkClick xmlns:r="http://schemas.openxmlformats.org/officeDocument/2006/relationships" r:id="rId3"/>
            <a:extLst>
              <a:ext uri="{FF2B5EF4-FFF2-40B4-BE49-F238E27FC236}">
                <a16:creationId xmlns:a16="http://schemas.microsoft.com/office/drawing/2014/main" id="{00000000-0008-0000-0100-000027000000}"/>
              </a:ext>
            </a:extLst>
          </xdr:cNvPr>
          <xdr:cNvSpPr txBox="1"/>
        </xdr:nvSpPr>
        <xdr:spPr>
          <a:xfrm>
            <a:off x="5772150" y="3143250"/>
            <a:ext cx="174307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u="sng">
                <a:solidFill>
                  <a:srgbClr val="0594FF"/>
                </a:solidFill>
              </a:rPr>
              <a:t>Magic &amp; Psionics</a:t>
            </a:r>
          </a:p>
        </xdr:txBody>
      </xdr:sp>
      <xdr:sp macro="" textlink="">
        <xdr:nvSpPr>
          <xdr:cNvPr id="40" name="TextBox 39">
            <a:hlinkClick xmlns:r="http://schemas.openxmlformats.org/officeDocument/2006/relationships" r:id="rId4"/>
            <a:extLst>
              <a:ext uri="{FF2B5EF4-FFF2-40B4-BE49-F238E27FC236}">
                <a16:creationId xmlns:a16="http://schemas.microsoft.com/office/drawing/2014/main" id="{00000000-0008-0000-0100-000028000000}"/>
              </a:ext>
            </a:extLst>
          </xdr:cNvPr>
          <xdr:cNvSpPr txBox="1"/>
        </xdr:nvSpPr>
        <xdr:spPr>
          <a:xfrm>
            <a:off x="5772150" y="3419475"/>
            <a:ext cx="174307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u="sng">
                <a:solidFill>
                  <a:srgbClr val="0594FF"/>
                </a:solidFill>
              </a:rPr>
              <a:t>Combat Sheet</a:t>
            </a:r>
          </a:p>
        </xdr:txBody>
      </xdr:sp>
      <xdr:sp macro="" textlink="">
        <xdr:nvSpPr>
          <xdr:cNvPr id="41" name="TextBox 40">
            <a:hlinkClick xmlns:r="http://schemas.openxmlformats.org/officeDocument/2006/relationships" r:id="rId5"/>
            <a:extLst>
              <a:ext uri="{FF2B5EF4-FFF2-40B4-BE49-F238E27FC236}">
                <a16:creationId xmlns:a16="http://schemas.microsoft.com/office/drawing/2014/main" id="{00000000-0008-0000-0100-000029000000}"/>
              </a:ext>
            </a:extLst>
          </xdr:cNvPr>
          <xdr:cNvSpPr txBox="1"/>
        </xdr:nvSpPr>
        <xdr:spPr>
          <a:xfrm>
            <a:off x="5781675" y="4905375"/>
            <a:ext cx="174307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u="sng">
                <a:solidFill>
                  <a:srgbClr val="0594FF"/>
                </a:solidFill>
              </a:rPr>
              <a:t>Worktable </a:t>
            </a:r>
            <a:r>
              <a:rPr lang="en-US" sz="1000" b="0" u="sng">
                <a:solidFill>
                  <a:srgbClr val="0594FF"/>
                </a:solidFill>
              </a:rPr>
              <a:t>(Scratch Paper)</a:t>
            </a:r>
          </a:p>
        </xdr:txBody>
      </xdr:sp>
      <xdr:sp macro="" textlink="">
        <xdr:nvSpPr>
          <xdr:cNvPr id="42" name="TextBox 41">
            <a:hlinkClick xmlns:r="http://schemas.openxmlformats.org/officeDocument/2006/relationships" r:id="rId6"/>
            <a:extLst>
              <a:ext uri="{FF2B5EF4-FFF2-40B4-BE49-F238E27FC236}">
                <a16:creationId xmlns:a16="http://schemas.microsoft.com/office/drawing/2014/main" id="{00000000-0008-0000-0100-00002A000000}"/>
              </a:ext>
            </a:extLst>
          </xdr:cNvPr>
          <xdr:cNvSpPr txBox="1"/>
        </xdr:nvSpPr>
        <xdr:spPr>
          <a:xfrm>
            <a:off x="5781675" y="5181600"/>
            <a:ext cx="174307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u="sng">
                <a:solidFill>
                  <a:srgbClr val="0594FF"/>
                </a:solidFill>
              </a:rPr>
              <a:t>Skill Selection</a:t>
            </a:r>
          </a:p>
        </xdr:txBody>
      </xdr:sp>
      <xdr:sp macro="" textlink="">
        <xdr:nvSpPr>
          <xdr:cNvPr id="43" name="TextBox 42">
            <a:hlinkClick xmlns:r="http://schemas.openxmlformats.org/officeDocument/2006/relationships" r:id="rId7"/>
            <a:extLst>
              <a:ext uri="{FF2B5EF4-FFF2-40B4-BE49-F238E27FC236}">
                <a16:creationId xmlns:a16="http://schemas.microsoft.com/office/drawing/2014/main" id="{00000000-0008-0000-0100-00002B000000}"/>
              </a:ext>
            </a:extLst>
          </xdr:cNvPr>
          <xdr:cNvSpPr txBox="1"/>
        </xdr:nvSpPr>
        <xdr:spPr>
          <a:xfrm>
            <a:off x="5781675" y="5457825"/>
            <a:ext cx="174307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u="sng">
                <a:solidFill>
                  <a:srgbClr val="0594FF"/>
                </a:solidFill>
              </a:rPr>
              <a:t>Customize</a:t>
            </a:r>
          </a:p>
        </xdr:txBody>
      </xdr:sp>
      <xdr:sp macro="" textlink="">
        <xdr:nvSpPr>
          <xdr:cNvPr id="44" name="TextBox 43">
            <a:hlinkClick xmlns:r="http://schemas.openxmlformats.org/officeDocument/2006/relationships" r:id="rId8"/>
            <a:extLst>
              <a:ext uri="{FF2B5EF4-FFF2-40B4-BE49-F238E27FC236}">
                <a16:creationId xmlns:a16="http://schemas.microsoft.com/office/drawing/2014/main" id="{00000000-0008-0000-0100-00002C000000}"/>
              </a:ext>
            </a:extLst>
          </xdr:cNvPr>
          <xdr:cNvSpPr txBox="1"/>
        </xdr:nvSpPr>
        <xdr:spPr>
          <a:xfrm>
            <a:off x="5781675" y="6200775"/>
            <a:ext cx="174307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u="sng">
                <a:solidFill>
                  <a:srgbClr val="0594FF"/>
                </a:solidFill>
              </a:rPr>
              <a:t>Character Sheet </a:t>
            </a:r>
            <a:r>
              <a:rPr lang="en-US" sz="1000" b="0" u="sng">
                <a:solidFill>
                  <a:srgbClr val="0594FF"/>
                </a:solidFill>
              </a:rPr>
              <a:t>(main)</a:t>
            </a:r>
          </a:p>
        </xdr:txBody>
      </xdr:sp>
      <xdr:sp macro="" textlink="">
        <xdr:nvSpPr>
          <xdr:cNvPr id="45" name="TextBox 44">
            <a:hlinkClick xmlns:r="http://schemas.openxmlformats.org/officeDocument/2006/relationships" r:id="rId9"/>
            <a:extLst>
              <a:ext uri="{FF2B5EF4-FFF2-40B4-BE49-F238E27FC236}">
                <a16:creationId xmlns:a16="http://schemas.microsoft.com/office/drawing/2014/main" id="{00000000-0008-0000-0100-00002D000000}"/>
              </a:ext>
            </a:extLst>
          </xdr:cNvPr>
          <xdr:cNvSpPr txBox="1"/>
        </xdr:nvSpPr>
        <xdr:spPr>
          <a:xfrm>
            <a:off x="5781675" y="6486525"/>
            <a:ext cx="174307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u="sng">
                <a:solidFill>
                  <a:srgbClr val="0594FF"/>
                </a:solidFill>
              </a:rPr>
              <a:t>Magic &amp; Psionics</a:t>
            </a:r>
          </a:p>
        </xdr:txBody>
      </xdr:sp>
      <xdr:sp macro="" textlink="">
        <xdr:nvSpPr>
          <xdr:cNvPr id="46" name="TextBox 45">
            <a:hlinkClick xmlns:r="http://schemas.openxmlformats.org/officeDocument/2006/relationships" r:id="rId10"/>
            <a:extLst>
              <a:ext uri="{FF2B5EF4-FFF2-40B4-BE49-F238E27FC236}">
                <a16:creationId xmlns:a16="http://schemas.microsoft.com/office/drawing/2014/main" id="{00000000-0008-0000-0100-00002E000000}"/>
              </a:ext>
            </a:extLst>
          </xdr:cNvPr>
          <xdr:cNvSpPr txBox="1"/>
        </xdr:nvSpPr>
        <xdr:spPr>
          <a:xfrm>
            <a:off x="5781675" y="6772275"/>
            <a:ext cx="174307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u="sng">
                <a:solidFill>
                  <a:srgbClr val="0594FF"/>
                </a:solidFill>
              </a:rPr>
              <a:t>Combat Sheet</a:t>
            </a:r>
          </a:p>
        </xdr:txBody>
      </xdr:sp>
      <xdr:sp macro="" textlink="">
        <xdr:nvSpPr>
          <xdr:cNvPr id="33" name="TextBox 32">
            <a:extLst>
              <a:ext uri="{FF2B5EF4-FFF2-40B4-BE49-F238E27FC236}">
                <a16:creationId xmlns:a16="http://schemas.microsoft.com/office/drawing/2014/main" id="{00000000-0008-0000-0100-000021000000}"/>
              </a:ext>
            </a:extLst>
          </xdr:cNvPr>
          <xdr:cNvSpPr txBox="1"/>
        </xdr:nvSpPr>
        <xdr:spPr>
          <a:xfrm>
            <a:off x="5781675" y="990600"/>
            <a:ext cx="174307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1"/>
              <a:t>Introduction:</a:t>
            </a:r>
          </a:p>
        </xdr:txBody>
      </xdr:sp>
      <xdr:sp macro="" textlink="">
        <xdr:nvSpPr>
          <xdr:cNvPr id="35" name="TextBox 34">
            <a:hlinkClick xmlns:r="http://schemas.openxmlformats.org/officeDocument/2006/relationships" r:id="rId11"/>
            <a:extLst>
              <a:ext uri="{FF2B5EF4-FFF2-40B4-BE49-F238E27FC236}">
                <a16:creationId xmlns:a16="http://schemas.microsoft.com/office/drawing/2014/main" id="{00000000-0008-0000-0100-000023000000}"/>
              </a:ext>
            </a:extLst>
          </xdr:cNvPr>
          <xdr:cNvSpPr txBox="1"/>
        </xdr:nvSpPr>
        <xdr:spPr>
          <a:xfrm>
            <a:off x="5781675" y="1266825"/>
            <a:ext cx="174307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u="sng">
                <a:solidFill>
                  <a:srgbClr val="0594FF"/>
                </a:solidFill>
              </a:rPr>
              <a:t>Cover Page</a:t>
            </a:r>
          </a:p>
        </xdr:txBody>
      </xdr:sp>
      <xdr:sp macro="" textlink="">
        <xdr:nvSpPr>
          <xdr:cNvPr id="36" name="TextBox 35">
            <a:hlinkClick xmlns:r="http://schemas.openxmlformats.org/officeDocument/2006/relationships" r:id="rId12"/>
            <a:extLst>
              <a:ext uri="{FF2B5EF4-FFF2-40B4-BE49-F238E27FC236}">
                <a16:creationId xmlns:a16="http://schemas.microsoft.com/office/drawing/2014/main" id="{00000000-0008-0000-0100-000024000000}"/>
              </a:ext>
            </a:extLst>
          </xdr:cNvPr>
          <xdr:cNvSpPr txBox="1"/>
        </xdr:nvSpPr>
        <xdr:spPr>
          <a:xfrm>
            <a:off x="5781675" y="1543050"/>
            <a:ext cx="174307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u="sng">
                <a:solidFill>
                  <a:srgbClr val="0594FF"/>
                </a:solidFill>
              </a:rPr>
              <a:t>Instructions</a:t>
            </a:r>
          </a:p>
        </xdr:txBody>
      </xdr:sp>
      <xdr:sp macro="" textlink="">
        <xdr:nvSpPr>
          <xdr:cNvPr id="37" name="TextBox 36">
            <a:hlinkClick xmlns:r="http://schemas.openxmlformats.org/officeDocument/2006/relationships" r:id="rId13"/>
            <a:extLst>
              <a:ext uri="{FF2B5EF4-FFF2-40B4-BE49-F238E27FC236}">
                <a16:creationId xmlns:a16="http://schemas.microsoft.com/office/drawing/2014/main" id="{00000000-0008-0000-0100-000025000000}"/>
              </a:ext>
            </a:extLst>
          </xdr:cNvPr>
          <xdr:cNvSpPr txBox="1"/>
        </xdr:nvSpPr>
        <xdr:spPr>
          <a:xfrm>
            <a:off x="5781675" y="1819275"/>
            <a:ext cx="174307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u="sng">
                <a:solidFill>
                  <a:srgbClr val="0594FF"/>
                </a:solidFill>
              </a:rPr>
              <a:t>Legal Information</a:t>
            </a:r>
          </a:p>
        </xdr:txBody>
      </xdr:sp>
      <xdr:sp macro="" textlink="">
        <xdr:nvSpPr>
          <xdr:cNvPr id="47" name="TextBox 46">
            <a:hlinkClick xmlns:r="http://schemas.openxmlformats.org/officeDocument/2006/relationships" r:id="rId14"/>
            <a:extLst>
              <a:ext uri="{FF2B5EF4-FFF2-40B4-BE49-F238E27FC236}">
                <a16:creationId xmlns:a16="http://schemas.microsoft.com/office/drawing/2014/main" id="{00000000-0008-0000-0100-00002F000000}"/>
              </a:ext>
            </a:extLst>
          </xdr:cNvPr>
          <xdr:cNvSpPr txBox="1"/>
        </xdr:nvSpPr>
        <xdr:spPr>
          <a:xfrm>
            <a:off x="5781675" y="2095500"/>
            <a:ext cx="174307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u="sng">
                <a:solidFill>
                  <a:srgbClr val="0594FF"/>
                </a:solidFill>
              </a:rPr>
              <a:t>Editor's Notes</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17</xdr:col>
      <xdr:colOff>381000</xdr:colOff>
      <xdr:row>5</xdr:row>
      <xdr:rowOff>114300</xdr:rowOff>
    </xdr:from>
    <xdr:to>
      <xdr:col>18</xdr:col>
      <xdr:colOff>0</xdr:colOff>
      <xdr:row>6</xdr:row>
      <xdr:rowOff>133350</xdr:rowOff>
    </xdr:to>
    <xdr:sp macro="" textlink="">
      <xdr:nvSpPr>
        <xdr:cNvPr id="3" name="TextBox 2">
          <a:extLst>
            <a:ext uri="{FF2B5EF4-FFF2-40B4-BE49-F238E27FC236}">
              <a16:creationId xmlns:a16="http://schemas.microsoft.com/office/drawing/2014/main" id="{00000000-0008-0000-0200-000003000000}"/>
            </a:ext>
          </a:extLst>
        </xdr:cNvPr>
        <xdr:cNvSpPr txBox="1"/>
      </xdr:nvSpPr>
      <xdr:spPr>
        <a:xfrm>
          <a:off x="6381750" y="904875"/>
          <a:ext cx="1209675" cy="1809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1"/>
            <a:t>Introduction:</a:t>
          </a:r>
        </a:p>
      </xdr:txBody>
    </xdr:sp>
    <xdr:clientData/>
  </xdr:twoCellAnchor>
  <xdr:twoCellAnchor>
    <xdr:from>
      <xdr:col>17</xdr:col>
      <xdr:colOff>390524</xdr:colOff>
      <xdr:row>11</xdr:row>
      <xdr:rowOff>0</xdr:rowOff>
    </xdr:from>
    <xdr:to>
      <xdr:col>18</xdr:col>
      <xdr:colOff>0</xdr:colOff>
      <xdr:row>13</xdr:row>
      <xdr:rowOff>0</xdr:rowOff>
    </xdr:to>
    <xdr:sp macro="" textlink="">
      <xdr:nvSpPr>
        <xdr:cNvPr id="8" name="TextBox 7">
          <a:extLst>
            <a:ext uri="{FF2B5EF4-FFF2-40B4-BE49-F238E27FC236}">
              <a16:creationId xmlns:a16="http://schemas.microsoft.com/office/drawing/2014/main" id="{00000000-0008-0000-0200-000008000000}"/>
            </a:ext>
          </a:extLst>
        </xdr:cNvPr>
        <xdr:cNvSpPr txBox="1"/>
      </xdr:nvSpPr>
      <xdr:spPr>
        <a:xfrm>
          <a:off x="6391274" y="1762125"/>
          <a:ext cx="15335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1"/>
            <a:t>Character Information:</a:t>
          </a:r>
        </a:p>
      </xdr:txBody>
    </xdr:sp>
    <xdr:clientData/>
  </xdr:twoCellAnchor>
  <xdr:twoCellAnchor>
    <xdr:from>
      <xdr:col>17</xdr:col>
      <xdr:colOff>381000</xdr:colOff>
      <xdr:row>5</xdr:row>
      <xdr:rowOff>114300</xdr:rowOff>
    </xdr:from>
    <xdr:to>
      <xdr:col>18</xdr:col>
      <xdr:colOff>0</xdr:colOff>
      <xdr:row>6</xdr:row>
      <xdr:rowOff>133350</xdr:rowOff>
    </xdr:to>
    <xdr:sp macro="" textlink="">
      <xdr:nvSpPr>
        <xdr:cNvPr id="101" name="TextBox 100">
          <a:extLst>
            <a:ext uri="{FF2B5EF4-FFF2-40B4-BE49-F238E27FC236}">
              <a16:creationId xmlns:a16="http://schemas.microsoft.com/office/drawing/2014/main" id="{00000000-0008-0000-0200-000065000000}"/>
            </a:ext>
          </a:extLst>
        </xdr:cNvPr>
        <xdr:cNvSpPr txBox="1"/>
      </xdr:nvSpPr>
      <xdr:spPr>
        <a:xfrm>
          <a:off x="6381750" y="904875"/>
          <a:ext cx="19050" cy="1809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1"/>
            <a:t>Introduction:</a:t>
          </a:r>
        </a:p>
      </xdr:txBody>
    </xdr:sp>
    <xdr:clientData/>
  </xdr:twoCellAnchor>
  <xdr:twoCellAnchor>
    <xdr:from>
      <xdr:col>17</xdr:col>
      <xdr:colOff>390524</xdr:colOff>
      <xdr:row>11</xdr:row>
      <xdr:rowOff>0</xdr:rowOff>
    </xdr:from>
    <xdr:to>
      <xdr:col>18</xdr:col>
      <xdr:colOff>0</xdr:colOff>
      <xdr:row>13</xdr:row>
      <xdr:rowOff>0</xdr:rowOff>
    </xdr:to>
    <xdr:sp macro="" textlink="">
      <xdr:nvSpPr>
        <xdr:cNvPr id="102" name="TextBox 101">
          <a:extLst>
            <a:ext uri="{FF2B5EF4-FFF2-40B4-BE49-F238E27FC236}">
              <a16:creationId xmlns:a16="http://schemas.microsoft.com/office/drawing/2014/main" id="{00000000-0008-0000-0200-000066000000}"/>
            </a:ext>
          </a:extLst>
        </xdr:cNvPr>
        <xdr:cNvSpPr txBox="1"/>
      </xdr:nvSpPr>
      <xdr:spPr>
        <a:xfrm>
          <a:off x="6391274" y="1762125"/>
          <a:ext cx="9526"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1"/>
            <a:t>Character Information:</a:t>
          </a:r>
        </a:p>
      </xdr:txBody>
    </xdr:sp>
    <xdr:clientData/>
  </xdr:twoCellAnchor>
  <xdr:twoCellAnchor editAs="oneCell">
    <xdr:from>
      <xdr:col>17</xdr:col>
      <xdr:colOff>57150</xdr:colOff>
      <xdr:row>0</xdr:row>
      <xdr:rowOff>57150</xdr:rowOff>
    </xdr:from>
    <xdr:to>
      <xdr:col>26</xdr:col>
      <xdr:colOff>552450</xdr:colOff>
      <xdr:row>58</xdr:row>
      <xdr:rowOff>104167</xdr:rowOff>
    </xdr:to>
    <xdr:pic>
      <xdr:nvPicPr>
        <xdr:cNvPr id="103" name="Picture 102">
          <a:extLst>
            <a:ext uri="{FF2B5EF4-FFF2-40B4-BE49-F238E27FC236}">
              <a16:creationId xmlns:a16="http://schemas.microsoft.com/office/drawing/2014/main" id="{00000000-0008-0000-0200-000067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57900" y="57150"/>
          <a:ext cx="5772150" cy="8848117"/>
        </a:xfrm>
        <a:prstGeom prst="rect">
          <a:avLst/>
        </a:prstGeom>
      </xdr:spPr>
    </xdr:pic>
    <xdr:clientData/>
  </xdr:twoCellAnchor>
  <xdr:twoCellAnchor>
    <xdr:from>
      <xdr:col>17</xdr:col>
      <xdr:colOff>114300</xdr:colOff>
      <xdr:row>6</xdr:row>
      <xdr:rowOff>104775</xdr:rowOff>
    </xdr:from>
    <xdr:to>
      <xdr:col>20</xdr:col>
      <xdr:colOff>247650</xdr:colOff>
      <xdr:row>46</xdr:row>
      <xdr:rowOff>47625</xdr:rowOff>
    </xdr:to>
    <xdr:grpSp>
      <xdr:nvGrpSpPr>
        <xdr:cNvPr id="104" name="Group 103">
          <a:extLst>
            <a:ext uri="{FF2B5EF4-FFF2-40B4-BE49-F238E27FC236}">
              <a16:creationId xmlns:a16="http://schemas.microsoft.com/office/drawing/2014/main" id="{00000000-0008-0000-0200-000068000000}"/>
            </a:ext>
          </a:extLst>
        </xdr:cNvPr>
        <xdr:cNvGrpSpPr/>
      </xdr:nvGrpSpPr>
      <xdr:grpSpPr>
        <a:xfrm>
          <a:off x="6115050" y="1057275"/>
          <a:ext cx="1752600" cy="6038850"/>
          <a:chOff x="5772150" y="990600"/>
          <a:chExt cx="1752600" cy="6038850"/>
        </a:xfrm>
      </xdr:grpSpPr>
      <xdr:sp macro="" textlink="">
        <xdr:nvSpPr>
          <xdr:cNvPr id="105" name="TextBox 104">
            <a:extLst>
              <a:ext uri="{FF2B5EF4-FFF2-40B4-BE49-F238E27FC236}">
                <a16:creationId xmlns:a16="http://schemas.microsoft.com/office/drawing/2014/main" id="{00000000-0008-0000-0200-000069000000}"/>
              </a:ext>
            </a:extLst>
          </xdr:cNvPr>
          <xdr:cNvSpPr txBox="1"/>
        </xdr:nvSpPr>
        <xdr:spPr>
          <a:xfrm>
            <a:off x="5781675" y="5915025"/>
            <a:ext cx="174307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1"/>
              <a:t>Character </a:t>
            </a:r>
            <a:r>
              <a:rPr lang="en-US" sz="1000" b="1" i="1"/>
              <a:t>(Printer</a:t>
            </a:r>
            <a:r>
              <a:rPr lang="en-US" sz="1000" b="1" i="1" baseline="0"/>
              <a:t> Friendly)</a:t>
            </a:r>
            <a:r>
              <a:rPr lang="en-US" sz="1100" b="1" i="1"/>
              <a:t>:</a:t>
            </a:r>
          </a:p>
        </xdr:txBody>
      </xdr:sp>
      <xdr:sp macro="" textlink="">
        <xdr:nvSpPr>
          <xdr:cNvPr id="106" name="TextBox 105">
            <a:extLst>
              <a:ext uri="{FF2B5EF4-FFF2-40B4-BE49-F238E27FC236}">
                <a16:creationId xmlns:a16="http://schemas.microsoft.com/office/drawing/2014/main" id="{00000000-0008-0000-0200-00006A000000}"/>
              </a:ext>
            </a:extLst>
          </xdr:cNvPr>
          <xdr:cNvSpPr txBox="1"/>
        </xdr:nvSpPr>
        <xdr:spPr>
          <a:xfrm>
            <a:off x="5781675" y="4629150"/>
            <a:ext cx="174307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1"/>
              <a:t>Character Building:</a:t>
            </a:r>
          </a:p>
        </xdr:txBody>
      </xdr:sp>
      <xdr:sp macro="" textlink="">
        <xdr:nvSpPr>
          <xdr:cNvPr id="107" name="TextBox 106">
            <a:extLst>
              <a:ext uri="{FF2B5EF4-FFF2-40B4-BE49-F238E27FC236}">
                <a16:creationId xmlns:a16="http://schemas.microsoft.com/office/drawing/2014/main" id="{00000000-0008-0000-0200-00006B000000}"/>
              </a:ext>
            </a:extLst>
          </xdr:cNvPr>
          <xdr:cNvSpPr txBox="1"/>
        </xdr:nvSpPr>
        <xdr:spPr>
          <a:xfrm>
            <a:off x="5772150" y="2590800"/>
            <a:ext cx="174307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1"/>
              <a:t>Character</a:t>
            </a:r>
            <a:r>
              <a:rPr lang="en-US" sz="1100" b="1" i="1" baseline="0"/>
              <a:t> Information</a:t>
            </a:r>
            <a:r>
              <a:rPr lang="en-US" sz="1100" b="1" i="1"/>
              <a:t>:</a:t>
            </a:r>
          </a:p>
        </xdr:txBody>
      </xdr:sp>
      <xdr:sp macro="" textlink="">
        <xdr:nvSpPr>
          <xdr:cNvPr id="108" name="TextBox 107">
            <a:hlinkClick xmlns:r="http://schemas.openxmlformats.org/officeDocument/2006/relationships" r:id="rId2"/>
            <a:extLst>
              <a:ext uri="{FF2B5EF4-FFF2-40B4-BE49-F238E27FC236}">
                <a16:creationId xmlns:a16="http://schemas.microsoft.com/office/drawing/2014/main" id="{00000000-0008-0000-0200-00006C000000}"/>
              </a:ext>
            </a:extLst>
          </xdr:cNvPr>
          <xdr:cNvSpPr txBox="1"/>
        </xdr:nvSpPr>
        <xdr:spPr>
          <a:xfrm>
            <a:off x="5772150" y="2867025"/>
            <a:ext cx="174307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u="sng">
                <a:solidFill>
                  <a:srgbClr val="0594FF"/>
                </a:solidFill>
              </a:rPr>
              <a:t>Character Sheet </a:t>
            </a:r>
            <a:r>
              <a:rPr lang="en-US" sz="1000" b="0" u="sng">
                <a:solidFill>
                  <a:srgbClr val="0594FF"/>
                </a:solidFill>
              </a:rPr>
              <a:t>(main)</a:t>
            </a:r>
          </a:p>
        </xdr:txBody>
      </xdr:sp>
      <xdr:sp macro="" textlink="">
        <xdr:nvSpPr>
          <xdr:cNvPr id="109" name="TextBox 108">
            <a:hlinkClick xmlns:r="http://schemas.openxmlformats.org/officeDocument/2006/relationships" r:id="rId3"/>
            <a:extLst>
              <a:ext uri="{FF2B5EF4-FFF2-40B4-BE49-F238E27FC236}">
                <a16:creationId xmlns:a16="http://schemas.microsoft.com/office/drawing/2014/main" id="{00000000-0008-0000-0200-00006D000000}"/>
              </a:ext>
            </a:extLst>
          </xdr:cNvPr>
          <xdr:cNvSpPr txBox="1"/>
        </xdr:nvSpPr>
        <xdr:spPr>
          <a:xfrm>
            <a:off x="5772150" y="3143250"/>
            <a:ext cx="174307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u="sng">
                <a:solidFill>
                  <a:srgbClr val="0594FF"/>
                </a:solidFill>
              </a:rPr>
              <a:t>Magic &amp; Psionics</a:t>
            </a:r>
          </a:p>
        </xdr:txBody>
      </xdr:sp>
      <xdr:sp macro="" textlink="">
        <xdr:nvSpPr>
          <xdr:cNvPr id="110" name="TextBox 109">
            <a:hlinkClick xmlns:r="http://schemas.openxmlformats.org/officeDocument/2006/relationships" r:id="rId4"/>
            <a:extLst>
              <a:ext uri="{FF2B5EF4-FFF2-40B4-BE49-F238E27FC236}">
                <a16:creationId xmlns:a16="http://schemas.microsoft.com/office/drawing/2014/main" id="{00000000-0008-0000-0200-00006E000000}"/>
              </a:ext>
            </a:extLst>
          </xdr:cNvPr>
          <xdr:cNvSpPr txBox="1"/>
        </xdr:nvSpPr>
        <xdr:spPr>
          <a:xfrm>
            <a:off x="5772150" y="3419475"/>
            <a:ext cx="174307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u="sng">
                <a:solidFill>
                  <a:srgbClr val="0594FF"/>
                </a:solidFill>
              </a:rPr>
              <a:t>Combat Sheet</a:t>
            </a:r>
          </a:p>
        </xdr:txBody>
      </xdr:sp>
      <xdr:sp macro="" textlink="">
        <xdr:nvSpPr>
          <xdr:cNvPr id="111" name="TextBox 110">
            <a:hlinkClick xmlns:r="http://schemas.openxmlformats.org/officeDocument/2006/relationships" r:id="rId5"/>
            <a:extLst>
              <a:ext uri="{FF2B5EF4-FFF2-40B4-BE49-F238E27FC236}">
                <a16:creationId xmlns:a16="http://schemas.microsoft.com/office/drawing/2014/main" id="{00000000-0008-0000-0200-00006F000000}"/>
              </a:ext>
            </a:extLst>
          </xdr:cNvPr>
          <xdr:cNvSpPr txBox="1"/>
        </xdr:nvSpPr>
        <xdr:spPr>
          <a:xfrm>
            <a:off x="5781675" y="4905375"/>
            <a:ext cx="174307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u="sng">
                <a:solidFill>
                  <a:srgbClr val="0594FF"/>
                </a:solidFill>
              </a:rPr>
              <a:t>Worktable </a:t>
            </a:r>
            <a:r>
              <a:rPr lang="en-US" sz="1000" b="0" u="sng">
                <a:solidFill>
                  <a:srgbClr val="0594FF"/>
                </a:solidFill>
              </a:rPr>
              <a:t>(Scratch Paper)</a:t>
            </a:r>
          </a:p>
        </xdr:txBody>
      </xdr:sp>
      <xdr:sp macro="" textlink="">
        <xdr:nvSpPr>
          <xdr:cNvPr id="112" name="TextBox 111">
            <a:hlinkClick xmlns:r="http://schemas.openxmlformats.org/officeDocument/2006/relationships" r:id="rId6"/>
            <a:extLst>
              <a:ext uri="{FF2B5EF4-FFF2-40B4-BE49-F238E27FC236}">
                <a16:creationId xmlns:a16="http://schemas.microsoft.com/office/drawing/2014/main" id="{00000000-0008-0000-0200-000070000000}"/>
              </a:ext>
            </a:extLst>
          </xdr:cNvPr>
          <xdr:cNvSpPr txBox="1"/>
        </xdr:nvSpPr>
        <xdr:spPr>
          <a:xfrm>
            <a:off x="5781675" y="5181600"/>
            <a:ext cx="174307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u="sng">
                <a:solidFill>
                  <a:srgbClr val="0594FF"/>
                </a:solidFill>
              </a:rPr>
              <a:t>Skills Selection</a:t>
            </a:r>
          </a:p>
        </xdr:txBody>
      </xdr:sp>
      <xdr:sp macro="" textlink="">
        <xdr:nvSpPr>
          <xdr:cNvPr id="113" name="TextBox 112">
            <a:hlinkClick xmlns:r="http://schemas.openxmlformats.org/officeDocument/2006/relationships" r:id="rId7"/>
            <a:extLst>
              <a:ext uri="{FF2B5EF4-FFF2-40B4-BE49-F238E27FC236}">
                <a16:creationId xmlns:a16="http://schemas.microsoft.com/office/drawing/2014/main" id="{00000000-0008-0000-0200-000071000000}"/>
              </a:ext>
            </a:extLst>
          </xdr:cNvPr>
          <xdr:cNvSpPr txBox="1"/>
        </xdr:nvSpPr>
        <xdr:spPr>
          <a:xfrm>
            <a:off x="5781675" y="5457825"/>
            <a:ext cx="174307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u="sng">
                <a:solidFill>
                  <a:srgbClr val="0594FF"/>
                </a:solidFill>
              </a:rPr>
              <a:t>Customize</a:t>
            </a:r>
          </a:p>
        </xdr:txBody>
      </xdr:sp>
      <xdr:sp macro="" textlink="">
        <xdr:nvSpPr>
          <xdr:cNvPr id="114" name="TextBox 113">
            <a:hlinkClick xmlns:r="http://schemas.openxmlformats.org/officeDocument/2006/relationships" r:id="rId8"/>
            <a:extLst>
              <a:ext uri="{FF2B5EF4-FFF2-40B4-BE49-F238E27FC236}">
                <a16:creationId xmlns:a16="http://schemas.microsoft.com/office/drawing/2014/main" id="{00000000-0008-0000-0200-000072000000}"/>
              </a:ext>
            </a:extLst>
          </xdr:cNvPr>
          <xdr:cNvSpPr txBox="1"/>
        </xdr:nvSpPr>
        <xdr:spPr>
          <a:xfrm>
            <a:off x="5781675" y="6200775"/>
            <a:ext cx="174307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u="sng">
                <a:solidFill>
                  <a:srgbClr val="0594FF"/>
                </a:solidFill>
              </a:rPr>
              <a:t>Character Sheet </a:t>
            </a:r>
            <a:r>
              <a:rPr lang="en-US" sz="1000" b="0" u="sng">
                <a:solidFill>
                  <a:srgbClr val="0594FF"/>
                </a:solidFill>
              </a:rPr>
              <a:t>(main)</a:t>
            </a:r>
          </a:p>
        </xdr:txBody>
      </xdr:sp>
      <xdr:sp macro="" textlink="">
        <xdr:nvSpPr>
          <xdr:cNvPr id="115" name="TextBox 114">
            <a:hlinkClick xmlns:r="http://schemas.openxmlformats.org/officeDocument/2006/relationships" r:id="rId9"/>
            <a:extLst>
              <a:ext uri="{FF2B5EF4-FFF2-40B4-BE49-F238E27FC236}">
                <a16:creationId xmlns:a16="http://schemas.microsoft.com/office/drawing/2014/main" id="{00000000-0008-0000-0200-000073000000}"/>
              </a:ext>
            </a:extLst>
          </xdr:cNvPr>
          <xdr:cNvSpPr txBox="1"/>
        </xdr:nvSpPr>
        <xdr:spPr>
          <a:xfrm>
            <a:off x="5781675" y="6486525"/>
            <a:ext cx="174307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u="sng">
                <a:solidFill>
                  <a:srgbClr val="0594FF"/>
                </a:solidFill>
              </a:rPr>
              <a:t>Magic &amp; Psionics</a:t>
            </a:r>
          </a:p>
        </xdr:txBody>
      </xdr:sp>
      <xdr:sp macro="" textlink="">
        <xdr:nvSpPr>
          <xdr:cNvPr id="116" name="TextBox 115">
            <a:hlinkClick xmlns:r="http://schemas.openxmlformats.org/officeDocument/2006/relationships" r:id="rId10"/>
            <a:extLst>
              <a:ext uri="{FF2B5EF4-FFF2-40B4-BE49-F238E27FC236}">
                <a16:creationId xmlns:a16="http://schemas.microsoft.com/office/drawing/2014/main" id="{00000000-0008-0000-0200-000074000000}"/>
              </a:ext>
            </a:extLst>
          </xdr:cNvPr>
          <xdr:cNvSpPr txBox="1"/>
        </xdr:nvSpPr>
        <xdr:spPr>
          <a:xfrm>
            <a:off x="5781675" y="6772275"/>
            <a:ext cx="174307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u="sng">
                <a:solidFill>
                  <a:srgbClr val="0594FF"/>
                </a:solidFill>
              </a:rPr>
              <a:t>Combat Sheet</a:t>
            </a:r>
          </a:p>
        </xdr:txBody>
      </xdr:sp>
      <xdr:sp macro="" textlink="">
        <xdr:nvSpPr>
          <xdr:cNvPr id="117" name="TextBox 116">
            <a:extLst>
              <a:ext uri="{FF2B5EF4-FFF2-40B4-BE49-F238E27FC236}">
                <a16:creationId xmlns:a16="http://schemas.microsoft.com/office/drawing/2014/main" id="{00000000-0008-0000-0200-000075000000}"/>
              </a:ext>
            </a:extLst>
          </xdr:cNvPr>
          <xdr:cNvSpPr txBox="1"/>
        </xdr:nvSpPr>
        <xdr:spPr>
          <a:xfrm>
            <a:off x="5781675" y="990600"/>
            <a:ext cx="174307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1"/>
              <a:t>Introduction:</a:t>
            </a:r>
          </a:p>
        </xdr:txBody>
      </xdr:sp>
      <xdr:sp macro="" textlink="">
        <xdr:nvSpPr>
          <xdr:cNvPr id="118" name="TextBox 117">
            <a:hlinkClick xmlns:r="http://schemas.openxmlformats.org/officeDocument/2006/relationships" r:id="rId11"/>
            <a:extLst>
              <a:ext uri="{FF2B5EF4-FFF2-40B4-BE49-F238E27FC236}">
                <a16:creationId xmlns:a16="http://schemas.microsoft.com/office/drawing/2014/main" id="{00000000-0008-0000-0200-000076000000}"/>
              </a:ext>
            </a:extLst>
          </xdr:cNvPr>
          <xdr:cNvSpPr txBox="1"/>
        </xdr:nvSpPr>
        <xdr:spPr>
          <a:xfrm>
            <a:off x="5781675" y="1266825"/>
            <a:ext cx="174307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u="sng">
                <a:solidFill>
                  <a:srgbClr val="0594FF"/>
                </a:solidFill>
              </a:rPr>
              <a:t>Cover Page</a:t>
            </a:r>
          </a:p>
        </xdr:txBody>
      </xdr:sp>
      <xdr:sp macro="" textlink="">
        <xdr:nvSpPr>
          <xdr:cNvPr id="119" name="TextBox 118">
            <a:hlinkClick xmlns:r="http://schemas.openxmlformats.org/officeDocument/2006/relationships" r:id="rId12"/>
            <a:extLst>
              <a:ext uri="{FF2B5EF4-FFF2-40B4-BE49-F238E27FC236}">
                <a16:creationId xmlns:a16="http://schemas.microsoft.com/office/drawing/2014/main" id="{00000000-0008-0000-0200-000077000000}"/>
              </a:ext>
            </a:extLst>
          </xdr:cNvPr>
          <xdr:cNvSpPr txBox="1"/>
        </xdr:nvSpPr>
        <xdr:spPr>
          <a:xfrm>
            <a:off x="5781675" y="1543050"/>
            <a:ext cx="174307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u="sng">
                <a:solidFill>
                  <a:srgbClr val="0594FF"/>
                </a:solidFill>
              </a:rPr>
              <a:t>Instructions</a:t>
            </a:r>
          </a:p>
        </xdr:txBody>
      </xdr:sp>
      <xdr:sp macro="" textlink="">
        <xdr:nvSpPr>
          <xdr:cNvPr id="120" name="TextBox 119">
            <a:hlinkClick xmlns:r="http://schemas.openxmlformats.org/officeDocument/2006/relationships" r:id="rId13"/>
            <a:extLst>
              <a:ext uri="{FF2B5EF4-FFF2-40B4-BE49-F238E27FC236}">
                <a16:creationId xmlns:a16="http://schemas.microsoft.com/office/drawing/2014/main" id="{00000000-0008-0000-0200-000078000000}"/>
              </a:ext>
            </a:extLst>
          </xdr:cNvPr>
          <xdr:cNvSpPr txBox="1"/>
        </xdr:nvSpPr>
        <xdr:spPr>
          <a:xfrm>
            <a:off x="5781675" y="1819275"/>
            <a:ext cx="174307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u="sng">
                <a:solidFill>
                  <a:srgbClr val="0594FF"/>
                </a:solidFill>
              </a:rPr>
              <a:t>Legal Information</a:t>
            </a:r>
          </a:p>
        </xdr:txBody>
      </xdr:sp>
      <xdr:sp macro="" textlink="">
        <xdr:nvSpPr>
          <xdr:cNvPr id="121" name="TextBox 120">
            <a:hlinkClick xmlns:r="http://schemas.openxmlformats.org/officeDocument/2006/relationships" r:id="rId14"/>
            <a:extLst>
              <a:ext uri="{FF2B5EF4-FFF2-40B4-BE49-F238E27FC236}">
                <a16:creationId xmlns:a16="http://schemas.microsoft.com/office/drawing/2014/main" id="{00000000-0008-0000-0200-000079000000}"/>
              </a:ext>
            </a:extLst>
          </xdr:cNvPr>
          <xdr:cNvSpPr txBox="1"/>
        </xdr:nvSpPr>
        <xdr:spPr>
          <a:xfrm>
            <a:off x="5781675" y="2095500"/>
            <a:ext cx="174307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u="sng">
                <a:solidFill>
                  <a:srgbClr val="0594FF"/>
                </a:solidFill>
              </a:rPr>
              <a:t>Editor's Notes</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editAs="oneCell">
    <xdr:from>
      <xdr:col>25</xdr:col>
      <xdr:colOff>57149</xdr:colOff>
      <xdr:row>0</xdr:row>
      <xdr:rowOff>57150</xdr:rowOff>
    </xdr:from>
    <xdr:to>
      <xdr:col>34</xdr:col>
      <xdr:colOff>142874</xdr:colOff>
      <xdr:row>45</xdr:row>
      <xdr:rowOff>123369</xdr:rowOff>
    </xdr:to>
    <xdr:pic>
      <xdr:nvPicPr>
        <xdr:cNvPr id="20" name="Picture 19">
          <a:extLst>
            <a:ext uri="{FF2B5EF4-FFF2-40B4-BE49-F238E27FC236}">
              <a16:creationId xmlns:a16="http://schemas.microsoft.com/office/drawing/2014/main" id="{00000000-0008-0000-0300-00001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5049499" y="57150"/>
          <a:ext cx="5572125" cy="8743494"/>
        </a:xfrm>
        <a:prstGeom prst="rect">
          <a:avLst/>
        </a:prstGeom>
      </xdr:spPr>
    </xdr:pic>
    <xdr:clientData/>
  </xdr:twoCellAnchor>
  <xdr:twoCellAnchor>
    <xdr:from>
      <xdr:col>25</xdr:col>
      <xdr:colOff>104775</xdr:colOff>
      <xdr:row>4</xdr:row>
      <xdr:rowOff>142875</xdr:rowOff>
    </xdr:from>
    <xdr:to>
      <xdr:col>28</xdr:col>
      <xdr:colOff>28575</xdr:colOff>
      <xdr:row>36</xdr:row>
      <xdr:rowOff>28575</xdr:rowOff>
    </xdr:to>
    <xdr:grpSp>
      <xdr:nvGrpSpPr>
        <xdr:cNvPr id="21" name="Group 20">
          <a:extLst>
            <a:ext uri="{FF2B5EF4-FFF2-40B4-BE49-F238E27FC236}">
              <a16:creationId xmlns:a16="http://schemas.microsoft.com/office/drawing/2014/main" id="{00000000-0008-0000-0300-000015000000}"/>
            </a:ext>
          </a:extLst>
        </xdr:cNvPr>
        <xdr:cNvGrpSpPr/>
      </xdr:nvGrpSpPr>
      <xdr:grpSpPr>
        <a:xfrm>
          <a:off x="15097125" y="1038225"/>
          <a:ext cx="1752600" cy="6038850"/>
          <a:chOff x="5772150" y="990600"/>
          <a:chExt cx="1752600" cy="6038850"/>
        </a:xfrm>
      </xdr:grpSpPr>
      <xdr:sp macro="" textlink="">
        <xdr:nvSpPr>
          <xdr:cNvPr id="22" name="TextBox 21">
            <a:extLst>
              <a:ext uri="{FF2B5EF4-FFF2-40B4-BE49-F238E27FC236}">
                <a16:creationId xmlns:a16="http://schemas.microsoft.com/office/drawing/2014/main" id="{00000000-0008-0000-0300-000016000000}"/>
              </a:ext>
            </a:extLst>
          </xdr:cNvPr>
          <xdr:cNvSpPr txBox="1"/>
        </xdr:nvSpPr>
        <xdr:spPr>
          <a:xfrm>
            <a:off x="5781675" y="5915025"/>
            <a:ext cx="174307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1"/>
              <a:t>Character </a:t>
            </a:r>
            <a:r>
              <a:rPr lang="en-US" sz="1000" b="1" i="1"/>
              <a:t>(Printer</a:t>
            </a:r>
            <a:r>
              <a:rPr lang="en-US" sz="1000" b="1" i="1" baseline="0"/>
              <a:t> Friendly)</a:t>
            </a:r>
            <a:r>
              <a:rPr lang="en-US" sz="1100" b="1" i="1"/>
              <a:t>:</a:t>
            </a:r>
          </a:p>
        </xdr:txBody>
      </xdr:sp>
      <xdr:sp macro="" textlink="">
        <xdr:nvSpPr>
          <xdr:cNvPr id="23" name="TextBox 22">
            <a:extLst>
              <a:ext uri="{FF2B5EF4-FFF2-40B4-BE49-F238E27FC236}">
                <a16:creationId xmlns:a16="http://schemas.microsoft.com/office/drawing/2014/main" id="{00000000-0008-0000-0300-000017000000}"/>
              </a:ext>
            </a:extLst>
          </xdr:cNvPr>
          <xdr:cNvSpPr txBox="1"/>
        </xdr:nvSpPr>
        <xdr:spPr>
          <a:xfrm>
            <a:off x="5781675" y="4629150"/>
            <a:ext cx="174307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1"/>
              <a:t>Character Building:</a:t>
            </a:r>
          </a:p>
        </xdr:txBody>
      </xdr:sp>
      <xdr:sp macro="" textlink="">
        <xdr:nvSpPr>
          <xdr:cNvPr id="24" name="TextBox 23">
            <a:extLst>
              <a:ext uri="{FF2B5EF4-FFF2-40B4-BE49-F238E27FC236}">
                <a16:creationId xmlns:a16="http://schemas.microsoft.com/office/drawing/2014/main" id="{00000000-0008-0000-0300-000018000000}"/>
              </a:ext>
            </a:extLst>
          </xdr:cNvPr>
          <xdr:cNvSpPr txBox="1"/>
        </xdr:nvSpPr>
        <xdr:spPr>
          <a:xfrm>
            <a:off x="5772150" y="2590800"/>
            <a:ext cx="174307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1"/>
              <a:t>Character</a:t>
            </a:r>
            <a:r>
              <a:rPr lang="en-US" sz="1100" b="1" i="1" baseline="0"/>
              <a:t> Information</a:t>
            </a:r>
            <a:r>
              <a:rPr lang="en-US" sz="1100" b="1" i="1"/>
              <a:t>:</a:t>
            </a:r>
          </a:p>
        </xdr:txBody>
      </xdr:sp>
      <xdr:sp macro="" textlink="">
        <xdr:nvSpPr>
          <xdr:cNvPr id="25" name="TextBox 24">
            <a:hlinkClick xmlns:r="http://schemas.openxmlformats.org/officeDocument/2006/relationships" r:id="rId2"/>
            <a:extLst>
              <a:ext uri="{FF2B5EF4-FFF2-40B4-BE49-F238E27FC236}">
                <a16:creationId xmlns:a16="http://schemas.microsoft.com/office/drawing/2014/main" id="{00000000-0008-0000-0300-000019000000}"/>
              </a:ext>
            </a:extLst>
          </xdr:cNvPr>
          <xdr:cNvSpPr txBox="1"/>
        </xdr:nvSpPr>
        <xdr:spPr>
          <a:xfrm>
            <a:off x="5772150" y="2867025"/>
            <a:ext cx="174307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u="sng">
                <a:solidFill>
                  <a:srgbClr val="0594FF"/>
                </a:solidFill>
              </a:rPr>
              <a:t>Character Sheet </a:t>
            </a:r>
            <a:r>
              <a:rPr lang="en-US" sz="1000" b="0" u="sng">
                <a:solidFill>
                  <a:srgbClr val="0594FF"/>
                </a:solidFill>
              </a:rPr>
              <a:t>(main)</a:t>
            </a:r>
          </a:p>
        </xdr:txBody>
      </xdr:sp>
      <xdr:sp macro="" textlink="">
        <xdr:nvSpPr>
          <xdr:cNvPr id="26" name="TextBox 25">
            <a:hlinkClick xmlns:r="http://schemas.openxmlformats.org/officeDocument/2006/relationships" r:id="rId3"/>
            <a:extLst>
              <a:ext uri="{FF2B5EF4-FFF2-40B4-BE49-F238E27FC236}">
                <a16:creationId xmlns:a16="http://schemas.microsoft.com/office/drawing/2014/main" id="{00000000-0008-0000-0300-00001A000000}"/>
              </a:ext>
            </a:extLst>
          </xdr:cNvPr>
          <xdr:cNvSpPr txBox="1"/>
        </xdr:nvSpPr>
        <xdr:spPr>
          <a:xfrm>
            <a:off x="5772150" y="3143250"/>
            <a:ext cx="174307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u="sng">
                <a:solidFill>
                  <a:srgbClr val="0594FF"/>
                </a:solidFill>
              </a:rPr>
              <a:t>Magic &amp; Psionics</a:t>
            </a:r>
          </a:p>
        </xdr:txBody>
      </xdr:sp>
      <xdr:sp macro="" textlink="">
        <xdr:nvSpPr>
          <xdr:cNvPr id="27" name="TextBox 26">
            <a:hlinkClick xmlns:r="http://schemas.openxmlformats.org/officeDocument/2006/relationships" r:id="rId4"/>
            <a:extLst>
              <a:ext uri="{FF2B5EF4-FFF2-40B4-BE49-F238E27FC236}">
                <a16:creationId xmlns:a16="http://schemas.microsoft.com/office/drawing/2014/main" id="{00000000-0008-0000-0300-00001B000000}"/>
              </a:ext>
            </a:extLst>
          </xdr:cNvPr>
          <xdr:cNvSpPr txBox="1"/>
        </xdr:nvSpPr>
        <xdr:spPr>
          <a:xfrm>
            <a:off x="5772150" y="3419475"/>
            <a:ext cx="174307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u="sng">
                <a:solidFill>
                  <a:srgbClr val="0594FF"/>
                </a:solidFill>
              </a:rPr>
              <a:t>Combat Sheet</a:t>
            </a:r>
          </a:p>
        </xdr:txBody>
      </xdr:sp>
      <xdr:sp macro="" textlink="">
        <xdr:nvSpPr>
          <xdr:cNvPr id="28" name="TextBox 27">
            <a:hlinkClick xmlns:r="http://schemas.openxmlformats.org/officeDocument/2006/relationships" r:id="rId5"/>
            <a:extLst>
              <a:ext uri="{FF2B5EF4-FFF2-40B4-BE49-F238E27FC236}">
                <a16:creationId xmlns:a16="http://schemas.microsoft.com/office/drawing/2014/main" id="{00000000-0008-0000-0300-00001C000000}"/>
              </a:ext>
            </a:extLst>
          </xdr:cNvPr>
          <xdr:cNvSpPr txBox="1"/>
        </xdr:nvSpPr>
        <xdr:spPr>
          <a:xfrm>
            <a:off x="5781675" y="4905375"/>
            <a:ext cx="174307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u="sng">
                <a:solidFill>
                  <a:srgbClr val="0594FF"/>
                </a:solidFill>
              </a:rPr>
              <a:t>Worktable </a:t>
            </a:r>
            <a:r>
              <a:rPr lang="en-US" sz="1000" b="0" u="sng">
                <a:solidFill>
                  <a:srgbClr val="0594FF"/>
                </a:solidFill>
              </a:rPr>
              <a:t>(Scratch Paper)</a:t>
            </a:r>
          </a:p>
        </xdr:txBody>
      </xdr:sp>
      <xdr:sp macro="" textlink="">
        <xdr:nvSpPr>
          <xdr:cNvPr id="29" name="TextBox 28">
            <a:hlinkClick xmlns:r="http://schemas.openxmlformats.org/officeDocument/2006/relationships" r:id="rId6"/>
            <a:extLst>
              <a:ext uri="{FF2B5EF4-FFF2-40B4-BE49-F238E27FC236}">
                <a16:creationId xmlns:a16="http://schemas.microsoft.com/office/drawing/2014/main" id="{00000000-0008-0000-0300-00001D000000}"/>
              </a:ext>
            </a:extLst>
          </xdr:cNvPr>
          <xdr:cNvSpPr txBox="1"/>
        </xdr:nvSpPr>
        <xdr:spPr>
          <a:xfrm>
            <a:off x="5781675" y="5181600"/>
            <a:ext cx="174307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u="sng">
                <a:solidFill>
                  <a:srgbClr val="0594FF"/>
                </a:solidFill>
              </a:rPr>
              <a:t>Skills Selection</a:t>
            </a:r>
          </a:p>
        </xdr:txBody>
      </xdr:sp>
      <xdr:sp macro="" textlink="">
        <xdr:nvSpPr>
          <xdr:cNvPr id="30" name="TextBox 29">
            <a:hlinkClick xmlns:r="http://schemas.openxmlformats.org/officeDocument/2006/relationships" r:id="rId7"/>
            <a:extLst>
              <a:ext uri="{FF2B5EF4-FFF2-40B4-BE49-F238E27FC236}">
                <a16:creationId xmlns:a16="http://schemas.microsoft.com/office/drawing/2014/main" id="{00000000-0008-0000-0300-00001E000000}"/>
              </a:ext>
            </a:extLst>
          </xdr:cNvPr>
          <xdr:cNvSpPr txBox="1"/>
        </xdr:nvSpPr>
        <xdr:spPr>
          <a:xfrm>
            <a:off x="5781675" y="5457825"/>
            <a:ext cx="174307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u="sng">
                <a:solidFill>
                  <a:srgbClr val="0594FF"/>
                </a:solidFill>
              </a:rPr>
              <a:t>Customize</a:t>
            </a:r>
          </a:p>
        </xdr:txBody>
      </xdr:sp>
      <xdr:sp macro="" textlink="">
        <xdr:nvSpPr>
          <xdr:cNvPr id="31" name="TextBox 30">
            <a:hlinkClick xmlns:r="http://schemas.openxmlformats.org/officeDocument/2006/relationships" r:id="rId8"/>
            <a:extLst>
              <a:ext uri="{FF2B5EF4-FFF2-40B4-BE49-F238E27FC236}">
                <a16:creationId xmlns:a16="http://schemas.microsoft.com/office/drawing/2014/main" id="{00000000-0008-0000-0300-00001F000000}"/>
              </a:ext>
            </a:extLst>
          </xdr:cNvPr>
          <xdr:cNvSpPr txBox="1"/>
        </xdr:nvSpPr>
        <xdr:spPr>
          <a:xfrm>
            <a:off x="5781675" y="6200775"/>
            <a:ext cx="174307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u="sng">
                <a:solidFill>
                  <a:srgbClr val="0594FF"/>
                </a:solidFill>
              </a:rPr>
              <a:t>Character Sheet </a:t>
            </a:r>
            <a:r>
              <a:rPr lang="en-US" sz="1000" b="0" u="sng">
                <a:solidFill>
                  <a:srgbClr val="0594FF"/>
                </a:solidFill>
              </a:rPr>
              <a:t>(main)</a:t>
            </a:r>
          </a:p>
        </xdr:txBody>
      </xdr:sp>
      <xdr:sp macro="" textlink="">
        <xdr:nvSpPr>
          <xdr:cNvPr id="32" name="TextBox 31">
            <a:hlinkClick xmlns:r="http://schemas.openxmlformats.org/officeDocument/2006/relationships" r:id="rId9"/>
            <a:extLst>
              <a:ext uri="{FF2B5EF4-FFF2-40B4-BE49-F238E27FC236}">
                <a16:creationId xmlns:a16="http://schemas.microsoft.com/office/drawing/2014/main" id="{00000000-0008-0000-0300-000020000000}"/>
              </a:ext>
            </a:extLst>
          </xdr:cNvPr>
          <xdr:cNvSpPr txBox="1"/>
        </xdr:nvSpPr>
        <xdr:spPr>
          <a:xfrm>
            <a:off x="5781675" y="6486525"/>
            <a:ext cx="174307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u="sng">
                <a:solidFill>
                  <a:srgbClr val="0594FF"/>
                </a:solidFill>
              </a:rPr>
              <a:t>Magic &amp; Psionics</a:t>
            </a:r>
          </a:p>
        </xdr:txBody>
      </xdr:sp>
      <xdr:sp macro="" textlink="">
        <xdr:nvSpPr>
          <xdr:cNvPr id="33" name="TextBox 32">
            <a:hlinkClick xmlns:r="http://schemas.openxmlformats.org/officeDocument/2006/relationships" r:id="rId10"/>
            <a:extLst>
              <a:ext uri="{FF2B5EF4-FFF2-40B4-BE49-F238E27FC236}">
                <a16:creationId xmlns:a16="http://schemas.microsoft.com/office/drawing/2014/main" id="{00000000-0008-0000-0300-000021000000}"/>
              </a:ext>
            </a:extLst>
          </xdr:cNvPr>
          <xdr:cNvSpPr txBox="1"/>
        </xdr:nvSpPr>
        <xdr:spPr>
          <a:xfrm>
            <a:off x="5781675" y="6772275"/>
            <a:ext cx="174307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u="sng">
                <a:solidFill>
                  <a:srgbClr val="0594FF"/>
                </a:solidFill>
              </a:rPr>
              <a:t>Combat Sheet</a:t>
            </a:r>
          </a:p>
        </xdr:txBody>
      </xdr:sp>
      <xdr:sp macro="" textlink="">
        <xdr:nvSpPr>
          <xdr:cNvPr id="34" name="TextBox 33">
            <a:extLst>
              <a:ext uri="{FF2B5EF4-FFF2-40B4-BE49-F238E27FC236}">
                <a16:creationId xmlns:a16="http://schemas.microsoft.com/office/drawing/2014/main" id="{00000000-0008-0000-0300-000022000000}"/>
              </a:ext>
            </a:extLst>
          </xdr:cNvPr>
          <xdr:cNvSpPr txBox="1"/>
        </xdr:nvSpPr>
        <xdr:spPr>
          <a:xfrm>
            <a:off x="5781675" y="990600"/>
            <a:ext cx="174307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1"/>
              <a:t>Introduction:</a:t>
            </a:r>
          </a:p>
        </xdr:txBody>
      </xdr:sp>
      <xdr:sp macro="" textlink="">
        <xdr:nvSpPr>
          <xdr:cNvPr id="35" name="TextBox 34">
            <a:hlinkClick xmlns:r="http://schemas.openxmlformats.org/officeDocument/2006/relationships" r:id="rId11"/>
            <a:extLst>
              <a:ext uri="{FF2B5EF4-FFF2-40B4-BE49-F238E27FC236}">
                <a16:creationId xmlns:a16="http://schemas.microsoft.com/office/drawing/2014/main" id="{00000000-0008-0000-0300-000023000000}"/>
              </a:ext>
            </a:extLst>
          </xdr:cNvPr>
          <xdr:cNvSpPr txBox="1"/>
        </xdr:nvSpPr>
        <xdr:spPr>
          <a:xfrm>
            <a:off x="5781675" y="1266825"/>
            <a:ext cx="174307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u="sng">
                <a:solidFill>
                  <a:srgbClr val="0594FF"/>
                </a:solidFill>
              </a:rPr>
              <a:t>Cover Page</a:t>
            </a:r>
          </a:p>
        </xdr:txBody>
      </xdr:sp>
      <xdr:sp macro="" textlink="">
        <xdr:nvSpPr>
          <xdr:cNvPr id="36" name="TextBox 35">
            <a:hlinkClick xmlns:r="http://schemas.openxmlformats.org/officeDocument/2006/relationships" r:id="rId12"/>
            <a:extLst>
              <a:ext uri="{FF2B5EF4-FFF2-40B4-BE49-F238E27FC236}">
                <a16:creationId xmlns:a16="http://schemas.microsoft.com/office/drawing/2014/main" id="{00000000-0008-0000-0300-000024000000}"/>
              </a:ext>
            </a:extLst>
          </xdr:cNvPr>
          <xdr:cNvSpPr txBox="1"/>
        </xdr:nvSpPr>
        <xdr:spPr>
          <a:xfrm>
            <a:off x="5781675" y="1543050"/>
            <a:ext cx="174307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u="sng">
                <a:solidFill>
                  <a:srgbClr val="0594FF"/>
                </a:solidFill>
              </a:rPr>
              <a:t>Instructions</a:t>
            </a:r>
          </a:p>
        </xdr:txBody>
      </xdr:sp>
      <xdr:sp macro="" textlink="">
        <xdr:nvSpPr>
          <xdr:cNvPr id="37" name="TextBox 36">
            <a:hlinkClick xmlns:r="http://schemas.openxmlformats.org/officeDocument/2006/relationships" r:id="rId13"/>
            <a:extLst>
              <a:ext uri="{FF2B5EF4-FFF2-40B4-BE49-F238E27FC236}">
                <a16:creationId xmlns:a16="http://schemas.microsoft.com/office/drawing/2014/main" id="{00000000-0008-0000-0300-000025000000}"/>
              </a:ext>
            </a:extLst>
          </xdr:cNvPr>
          <xdr:cNvSpPr txBox="1"/>
        </xdr:nvSpPr>
        <xdr:spPr>
          <a:xfrm>
            <a:off x="5781675" y="1819275"/>
            <a:ext cx="174307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u="sng">
                <a:solidFill>
                  <a:srgbClr val="0594FF"/>
                </a:solidFill>
              </a:rPr>
              <a:t>Legal Information</a:t>
            </a:r>
          </a:p>
        </xdr:txBody>
      </xdr:sp>
      <xdr:sp macro="" textlink="">
        <xdr:nvSpPr>
          <xdr:cNvPr id="38" name="TextBox 37">
            <a:hlinkClick xmlns:r="http://schemas.openxmlformats.org/officeDocument/2006/relationships" r:id="rId14"/>
            <a:extLst>
              <a:ext uri="{FF2B5EF4-FFF2-40B4-BE49-F238E27FC236}">
                <a16:creationId xmlns:a16="http://schemas.microsoft.com/office/drawing/2014/main" id="{00000000-0008-0000-0300-000026000000}"/>
              </a:ext>
            </a:extLst>
          </xdr:cNvPr>
          <xdr:cNvSpPr txBox="1"/>
        </xdr:nvSpPr>
        <xdr:spPr>
          <a:xfrm>
            <a:off x="5781675" y="2095500"/>
            <a:ext cx="174307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u="sng">
                <a:solidFill>
                  <a:srgbClr val="0594FF"/>
                </a:solidFill>
              </a:rPr>
              <a:t>Editor's Notes</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17</xdr:col>
      <xdr:colOff>47624</xdr:colOff>
      <xdr:row>1</xdr:row>
      <xdr:rowOff>28575</xdr:rowOff>
    </xdr:from>
    <xdr:to>
      <xdr:col>25</xdr:col>
      <xdr:colOff>590549</xdr:colOff>
      <xdr:row>45</xdr:row>
      <xdr:rowOff>150931</xdr:rowOff>
    </xdr:to>
    <xdr:pic>
      <xdr:nvPicPr>
        <xdr:cNvPr id="20" name="Picture 19">
          <a:extLst>
            <a:ext uri="{FF2B5EF4-FFF2-40B4-BE49-F238E27FC236}">
              <a16:creationId xmlns:a16="http://schemas.microsoft.com/office/drawing/2014/main" id="{00000000-0008-0000-0400-00001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677149" y="390525"/>
          <a:ext cx="5419725" cy="8504356"/>
        </a:xfrm>
        <a:prstGeom prst="rect">
          <a:avLst/>
        </a:prstGeom>
      </xdr:spPr>
    </xdr:pic>
    <xdr:clientData/>
  </xdr:twoCellAnchor>
  <xdr:twoCellAnchor>
    <xdr:from>
      <xdr:col>17</xdr:col>
      <xdr:colOff>104775</xdr:colOff>
      <xdr:row>6</xdr:row>
      <xdr:rowOff>28575</xdr:rowOff>
    </xdr:from>
    <xdr:to>
      <xdr:col>20</xdr:col>
      <xdr:colOff>28575</xdr:colOff>
      <xdr:row>37</xdr:row>
      <xdr:rowOff>161925</xdr:rowOff>
    </xdr:to>
    <xdr:grpSp>
      <xdr:nvGrpSpPr>
        <xdr:cNvPr id="21" name="Group 20">
          <a:extLst>
            <a:ext uri="{FF2B5EF4-FFF2-40B4-BE49-F238E27FC236}">
              <a16:creationId xmlns:a16="http://schemas.microsoft.com/office/drawing/2014/main" id="{00000000-0008-0000-0400-000015000000}"/>
            </a:ext>
          </a:extLst>
        </xdr:cNvPr>
        <xdr:cNvGrpSpPr/>
      </xdr:nvGrpSpPr>
      <xdr:grpSpPr>
        <a:xfrm>
          <a:off x="7734300" y="1343025"/>
          <a:ext cx="1752600" cy="6038850"/>
          <a:chOff x="5772150" y="990600"/>
          <a:chExt cx="1752600" cy="6038850"/>
        </a:xfrm>
      </xdr:grpSpPr>
      <xdr:sp macro="" textlink="">
        <xdr:nvSpPr>
          <xdr:cNvPr id="22" name="TextBox 21">
            <a:extLst>
              <a:ext uri="{FF2B5EF4-FFF2-40B4-BE49-F238E27FC236}">
                <a16:creationId xmlns:a16="http://schemas.microsoft.com/office/drawing/2014/main" id="{00000000-0008-0000-0400-000016000000}"/>
              </a:ext>
            </a:extLst>
          </xdr:cNvPr>
          <xdr:cNvSpPr txBox="1"/>
        </xdr:nvSpPr>
        <xdr:spPr>
          <a:xfrm>
            <a:off x="5781675" y="5915025"/>
            <a:ext cx="174307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1"/>
              <a:t>Character </a:t>
            </a:r>
            <a:r>
              <a:rPr lang="en-US" sz="1000" b="1" i="1"/>
              <a:t>(Printer</a:t>
            </a:r>
            <a:r>
              <a:rPr lang="en-US" sz="1000" b="1" i="1" baseline="0"/>
              <a:t> Friendly)</a:t>
            </a:r>
            <a:r>
              <a:rPr lang="en-US" sz="1100" b="1" i="1"/>
              <a:t>:</a:t>
            </a:r>
          </a:p>
        </xdr:txBody>
      </xdr:sp>
      <xdr:sp macro="" textlink="">
        <xdr:nvSpPr>
          <xdr:cNvPr id="23" name="TextBox 22">
            <a:extLst>
              <a:ext uri="{FF2B5EF4-FFF2-40B4-BE49-F238E27FC236}">
                <a16:creationId xmlns:a16="http://schemas.microsoft.com/office/drawing/2014/main" id="{00000000-0008-0000-0400-000017000000}"/>
              </a:ext>
            </a:extLst>
          </xdr:cNvPr>
          <xdr:cNvSpPr txBox="1"/>
        </xdr:nvSpPr>
        <xdr:spPr>
          <a:xfrm>
            <a:off x="5781675" y="4629150"/>
            <a:ext cx="174307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1"/>
              <a:t>Character Building:</a:t>
            </a:r>
          </a:p>
        </xdr:txBody>
      </xdr:sp>
      <xdr:sp macro="" textlink="">
        <xdr:nvSpPr>
          <xdr:cNvPr id="24" name="TextBox 23">
            <a:extLst>
              <a:ext uri="{FF2B5EF4-FFF2-40B4-BE49-F238E27FC236}">
                <a16:creationId xmlns:a16="http://schemas.microsoft.com/office/drawing/2014/main" id="{00000000-0008-0000-0400-000018000000}"/>
              </a:ext>
            </a:extLst>
          </xdr:cNvPr>
          <xdr:cNvSpPr txBox="1"/>
        </xdr:nvSpPr>
        <xdr:spPr>
          <a:xfrm>
            <a:off x="5772150" y="2590800"/>
            <a:ext cx="174307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1"/>
              <a:t>Character</a:t>
            </a:r>
            <a:r>
              <a:rPr lang="en-US" sz="1100" b="1" i="1" baseline="0"/>
              <a:t> Information</a:t>
            </a:r>
            <a:r>
              <a:rPr lang="en-US" sz="1100" b="1" i="1"/>
              <a:t>:</a:t>
            </a:r>
          </a:p>
        </xdr:txBody>
      </xdr:sp>
      <xdr:sp macro="" textlink="">
        <xdr:nvSpPr>
          <xdr:cNvPr id="25" name="TextBox 24">
            <a:hlinkClick xmlns:r="http://schemas.openxmlformats.org/officeDocument/2006/relationships" r:id="rId2"/>
            <a:extLst>
              <a:ext uri="{FF2B5EF4-FFF2-40B4-BE49-F238E27FC236}">
                <a16:creationId xmlns:a16="http://schemas.microsoft.com/office/drawing/2014/main" id="{00000000-0008-0000-0400-000019000000}"/>
              </a:ext>
            </a:extLst>
          </xdr:cNvPr>
          <xdr:cNvSpPr txBox="1"/>
        </xdr:nvSpPr>
        <xdr:spPr>
          <a:xfrm>
            <a:off x="5772150" y="2867025"/>
            <a:ext cx="174307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u="sng">
                <a:solidFill>
                  <a:srgbClr val="0594FF"/>
                </a:solidFill>
              </a:rPr>
              <a:t>Character Sheet </a:t>
            </a:r>
            <a:r>
              <a:rPr lang="en-US" sz="1000" b="0" u="sng">
                <a:solidFill>
                  <a:srgbClr val="0594FF"/>
                </a:solidFill>
              </a:rPr>
              <a:t>(main)</a:t>
            </a:r>
          </a:p>
        </xdr:txBody>
      </xdr:sp>
      <xdr:sp macro="" textlink="">
        <xdr:nvSpPr>
          <xdr:cNvPr id="26" name="TextBox 25">
            <a:hlinkClick xmlns:r="http://schemas.openxmlformats.org/officeDocument/2006/relationships" r:id="rId3"/>
            <a:extLst>
              <a:ext uri="{FF2B5EF4-FFF2-40B4-BE49-F238E27FC236}">
                <a16:creationId xmlns:a16="http://schemas.microsoft.com/office/drawing/2014/main" id="{00000000-0008-0000-0400-00001A000000}"/>
              </a:ext>
            </a:extLst>
          </xdr:cNvPr>
          <xdr:cNvSpPr txBox="1"/>
        </xdr:nvSpPr>
        <xdr:spPr>
          <a:xfrm>
            <a:off x="5772150" y="3143250"/>
            <a:ext cx="174307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u="sng">
                <a:solidFill>
                  <a:srgbClr val="0594FF"/>
                </a:solidFill>
              </a:rPr>
              <a:t>Magic &amp; Psionics</a:t>
            </a:r>
          </a:p>
        </xdr:txBody>
      </xdr:sp>
      <xdr:sp macro="" textlink="">
        <xdr:nvSpPr>
          <xdr:cNvPr id="27" name="TextBox 26">
            <a:hlinkClick xmlns:r="http://schemas.openxmlformats.org/officeDocument/2006/relationships" r:id="rId4"/>
            <a:extLst>
              <a:ext uri="{FF2B5EF4-FFF2-40B4-BE49-F238E27FC236}">
                <a16:creationId xmlns:a16="http://schemas.microsoft.com/office/drawing/2014/main" id="{00000000-0008-0000-0400-00001B000000}"/>
              </a:ext>
            </a:extLst>
          </xdr:cNvPr>
          <xdr:cNvSpPr txBox="1"/>
        </xdr:nvSpPr>
        <xdr:spPr>
          <a:xfrm>
            <a:off x="5772150" y="3419475"/>
            <a:ext cx="174307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u="sng">
                <a:solidFill>
                  <a:srgbClr val="0594FF"/>
                </a:solidFill>
              </a:rPr>
              <a:t>Combat Sheet</a:t>
            </a:r>
          </a:p>
        </xdr:txBody>
      </xdr:sp>
      <xdr:sp macro="" textlink="">
        <xdr:nvSpPr>
          <xdr:cNvPr id="28" name="TextBox 27">
            <a:hlinkClick xmlns:r="http://schemas.openxmlformats.org/officeDocument/2006/relationships" r:id="rId5"/>
            <a:extLst>
              <a:ext uri="{FF2B5EF4-FFF2-40B4-BE49-F238E27FC236}">
                <a16:creationId xmlns:a16="http://schemas.microsoft.com/office/drawing/2014/main" id="{00000000-0008-0000-0400-00001C000000}"/>
              </a:ext>
            </a:extLst>
          </xdr:cNvPr>
          <xdr:cNvSpPr txBox="1"/>
        </xdr:nvSpPr>
        <xdr:spPr>
          <a:xfrm>
            <a:off x="5781675" y="4905375"/>
            <a:ext cx="174307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u="sng">
                <a:solidFill>
                  <a:srgbClr val="0594FF"/>
                </a:solidFill>
              </a:rPr>
              <a:t>Worktable </a:t>
            </a:r>
            <a:r>
              <a:rPr lang="en-US" sz="1000" b="0" u="sng">
                <a:solidFill>
                  <a:srgbClr val="0594FF"/>
                </a:solidFill>
              </a:rPr>
              <a:t>(Scratch Paper)</a:t>
            </a:r>
          </a:p>
        </xdr:txBody>
      </xdr:sp>
      <xdr:sp macro="" textlink="">
        <xdr:nvSpPr>
          <xdr:cNvPr id="29" name="TextBox 28">
            <a:hlinkClick xmlns:r="http://schemas.openxmlformats.org/officeDocument/2006/relationships" r:id="rId6"/>
            <a:extLst>
              <a:ext uri="{FF2B5EF4-FFF2-40B4-BE49-F238E27FC236}">
                <a16:creationId xmlns:a16="http://schemas.microsoft.com/office/drawing/2014/main" id="{00000000-0008-0000-0400-00001D000000}"/>
              </a:ext>
            </a:extLst>
          </xdr:cNvPr>
          <xdr:cNvSpPr txBox="1"/>
        </xdr:nvSpPr>
        <xdr:spPr>
          <a:xfrm>
            <a:off x="5781675" y="5181600"/>
            <a:ext cx="174307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u="sng">
                <a:solidFill>
                  <a:srgbClr val="0594FF"/>
                </a:solidFill>
              </a:rPr>
              <a:t>Skills Selection</a:t>
            </a:r>
          </a:p>
        </xdr:txBody>
      </xdr:sp>
      <xdr:sp macro="" textlink="">
        <xdr:nvSpPr>
          <xdr:cNvPr id="30" name="TextBox 29">
            <a:hlinkClick xmlns:r="http://schemas.openxmlformats.org/officeDocument/2006/relationships" r:id="rId7"/>
            <a:extLst>
              <a:ext uri="{FF2B5EF4-FFF2-40B4-BE49-F238E27FC236}">
                <a16:creationId xmlns:a16="http://schemas.microsoft.com/office/drawing/2014/main" id="{00000000-0008-0000-0400-00001E000000}"/>
              </a:ext>
            </a:extLst>
          </xdr:cNvPr>
          <xdr:cNvSpPr txBox="1"/>
        </xdr:nvSpPr>
        <xdr:spPr>
          <a:xfrm>
            <a:off x="5781675" y="5457825"/>
            <a:ext cx="174307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u="sng">
                <a:solidFill>
                  <a:srgbClr val="0594FF"/>
                </a:solidFill>
              </a:rPr>
              <a:t>Customize</a:t>
            </a:r>
          </a:p>
        </xdr:txBody>
      </xdr:sp>
      <xdr:sp macro="" textlink="">
        <xdr:nvSpPr>
          <xdr:cNvPr id="31" name="TextBox 30">
            <a:hlinkClick xmlns:r="http://schemas.openxmlformats.org/officeDocument/2006/relationships" r:id="rId8"/>
            <a:extLst>
              <a:ext uri="{FF2B5EF4-FFF2-40B4-BE49-F238E27FC236}">
                <a16:creationId xmlns:a16="http://schemas.microsoft.com/office/drawing/2014/main" id="{00000000-0008-0000-0400-00001F000000}"/>
              </a:ext>
            </a:extLst>
          </xdr:cNvPr>
          <xdr:cNvSpPr txBox="1"/>
        </xdr:nvSpPr>
        <xdr:spPr>
          <a:xfrm>
            <a:off x="5781675" y="6200775"/>
            <a:ext cx="174307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u="sng">
                <a:solidFill>
                  <a:srgbClr val="0594FF"/>
                </a:solidFill>
              </a:rPr>
              <a:t>Character Sheet </a:t>
            </a:r>
            <a:r>
              <a:rPr lang="en-US" sz="1000" b="0" u="sng">
                <a:solidFill>
                  <a:srgbClr val="0594FF"/>
                </a:solidFill>
              </a:rPr>
              <a:t>(main)</a:t>
            </a:r>
          </a:p>
        </xdr:txBody>
      </xdr:sp>
      <xdr:sp macro="" textlink="">
        <xdr:nvSpPr>
          <xdr:cNvPr id="32" name="TextBox 31">
            <a:hlinkClick xmlns:r="http://schemas.openxmlformats.org/officeDocument/2006/relationships" r:id="rId9"/>
            <a:extLst>
              <a:ext uri="{FF2B5EF4-FFF2-40B4-BE49-F238E27FC236}">
                <a16:creationId xmlns:a16="http://schemas.microsoft.com/office/drawing/2014/main" id="{00000000-0008-0000-0400-000020000000}"/>
              </a:ext>
            </a:extLst>
          </xdr:cNvPr>
          <xdr:cNvSpPr txBox="1"/>
        </xdr:nvSpPr>
        <xdr:spPr>
          <a:xfrm>
            <a:off x="5781675" y="6486525"/>
            <a:ext cx="174307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u="sng">
                <a:solidFill>
                  <a:srgbClr val="0594FF"/>
                </a:solidFill>
              </a:rPr>
              <a:t>Magic &amp; Psionics</a:t>
            </a:r>
          </a:p>
        </xdr:txBody>
      </xdr:sp>
      <xdr:sp macro="" textlink="">
        <xdr:nvSpPr>
          <xdr:cNvPr id="33" name="TextBox 32">
            <a:hlinkClick xmlns:r="http://schemas.openxmlformats.org/officeDocument/2006/relationships" r:id="rId10"/>
            <a:extLst>
              <a:ext uri="{FF2B5EF4-FFF2-40B4-BE49-F238E27FC236}">
                <a16:creationId xmlns:a16="http://schemas.microsoft.com/office/drawing/2014/main" id="{00000000-0008-0000-0400-000021000000}"/>
              </a:ext>
            </a:extLst>
          </xdr:cNvPr>
          <xdr:cNvSpPr txBox="1"/>
        </xdr:nvSpPr>
        <xdr:spPr>
          <a:xfrm>
            <a:off x="5781675" y="6772275"/>
            <a:ext cx="174307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u="sng">
                <a:solidFill>
                  <a:srgbClr val="0594FF"/>
                </a:solidFill>
              </a:rPr>
              <a:t>Combat Sheet</a:t>
            </a:r>
          </a:p>
        </xdr:txBody>
      </xdr:sp>
      <xdr:sp macro="" textlink="">
        <xdr:nvSpPr>
          <xdr:cNvPr id="34" name="TextBox 33">
            <a:extLst>
              <a:ext uri="{FF2B5EF4-FFF2-40B4-BE49-F238E27FC236}">
                <a16:creationId xmlns:a16="http://schemas.microsoft.com/office/drawing/2014/main" id="{00000000-0008-0000-0400-000022000000}"/>
              </a:ext>
            </a:extLst>
          </xdr:cNvPr>
          <xdr:cNvSpPr txBox="1"/>
        </xdr:nvSpPr>
        <xdr:spPr>
          <a:xfrm>
            <a:off x="5781675" y="990600"/>
            <a:ext cx="174307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1"/>
              <a:t>Introduction:</a:t>
            </a:r>
          </a:p>
        </xdr:txBody>
      </xdr:sp>
      <xdr:sp macro="" textlink="">
        <xdr:nvSpPr>
          <xdr:cNvPr id="35" name="TextBox 34">
            <a:hlinkClick xmlns:r="http://schemas.openxmlformats.org/officeDocument/2006/relationships" r:id="rId11"/>
            <a:extLst>
              <a:ext uri="{FF2B5EF4-FFF2-40B4-BE49-F238E27FC236}">
                <a16:creationId xmlns:a16="http://schemas.microsoft.com/office/drawing/2014/main" id="{00000000-0008-0000-0400-000023000000}"/>
              </a:ext>
            </a:extLst>
          </xdr:cNvPr>
          <xdr:cNvSpPr txBox="1"/>
        </xdr:nvSpPr>
        <xdr:spPr>
          <a:xfrm>
            <a:off x="5781675" y="1266825"/>
            <a:ext cx="174307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u="sng">
                <a:solidFill>
                  <a:srgbClr val="0594FF"/>
                </a:solidFill>
              </a:rPr>
              <a:t>Cover Page</a:t>
            </a:r>
          </a:p>
        </xdr:txBody>
      </xdr:sp>
      <xdr:sp macro="" textlink="">
        <xdr:nvSpPr>
          <xdr:cNvPr id="36" name="TextBox 35">
            <a:hlinkClick xmlns:r="http://schemas.openxmlformats.org/officeDocument/2006/relationships" r:id="rId12"/>
            <a:extLst>
              <a:ext uri="{FF2B5EF4-FFF2-40B4-BE49-F238E27FC236}">
                <a16:creationId xmlns:a16="http://schemas.microsoft.com/office/drawing/2014/main" id="{00000000-0008-0000-0400-000024000000}"/>
              </a:ext>
            </a:extLst>
          </xdr:cNvPr>
          <xdr:cNvSpPr txBox="1"/>
        </xdr:nvSpPr>
        <xdr:spPr>
          <a:xfrm>
            <a:off x="5781675" y="1543050"/>
            <a:ext cx="174307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u="sng">
                <a:solidFill>
                  <a:srgbClr val="0594FF"/>
                </a:solidFill>
              </a:rPr>
              <a:t>Instructions</a:t>
            </a:r>
          </a:p>
        </xdr:txBody>
      </xdr:sp>
      <xdr:sp macro="" textlink="">
        <xdr:nvSpPr>
          <xdr:cNvPr id="37" name="TextBox 36">
            <a:hlinkClick xmlns:r="http://schemas.openxmlformats.org/officeDocument/2006/relationships" r:id="rId13"/>
            <a:extLst>
              <a:ext uri="{FF2B5EF4-FFF2-40B4-BE49-F238E27FC236}">
                <a16:creationId xmlns:a16="http://schemas.microsoft.com/office/drawing/2014/main" id="{00000000-0008-0000-0400-000025000000}"/>
              </a:ext>
            </a:extLst>
          </xdr:cNvPr>
          <xdr:cNvSpPr txBox="1"/>
        </xdr:nvSpPr>
        <xdr:spPr>
          <a:xfrm>
            <a:off x="5781675" y="1819275"/>
            <a:ext cx="174307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u="sng">
                <a:solidFill>
                  <a:srgbClr val="0594FF"/>
                </a:solidFill>
              </a:rPr>
              <a:t>Legal Information</a:t>
            </a:r>
          </a:p>
        </xdr:txBody>
      </xdr:sp>
      <xdr:sp macro="" textlink="">
        <xdr:nvSpPr>
          <xdr:cNvPr id="38" name="TextBox 37">
            <a:hlinkClick xmlns:r="http://schemas.openxmlformats.org/officeDocument/2006/relationships" r:id="rId14"/>
            <a:extLst>
              <a:ext uri="{FF2B5EF4-FFF2-40B4-BE49-F238E27FC236}">
                <a16:creationId xmlns:a16="http://schemas.microsoft.com/office/drawing/2014/main" id="{00000000-0008-0000-0400-000026000000}"/>
              </a:ext>
            </a:extLst>
          </xdr:cNvPr>
          <xdr:cNvSpPr txBox="1"/>
        </xdr:nvSpPr>
        <xdr:spPr>
          <a:xfrm>
            <a:off x="5781675" y="2095500"/>
            <a:ext cx="174307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u="sng">
                <a:solidFill>
                  <a:srgbClr val="0594FF"/>
                </a:solidFill>
              </a:rPr>
              <a:t>Editor's Notes</a:t>
            </a:r>
          </a:p>
        </xdr:txBody>
      </xdr:sp>
    </xdr:grpSp>
    <xdr:clientData/>
  </xdr:twoCellAnchor>
</xdr:wsDr>
</file>

<file path=xl/drawings/drawing6.xml><?xml version="1.0" encoding="utf-8"?>
<xdr:wsDr xmlns:xdr="http://schemas.openxmlformats.org/drawingml/2006/spreadsheetDrawing" xmlns:a="http://schemas.openxmlformats.org/drawingml/2006/main">
  <xdr:twoCellAnchor editAs="oneCell">
    <xdr:from>
      <xdr:col>17</xdr:col>
      <xdr:colOff>57149</xdr:colOff>
      <xdr:row>5</xdr:row>
      <xdr:rowOff>57150</xdr:rowOff>
    </xdr:from>
    <xdr:to>
      <xdr:col>26</xdr:col>
      <xdr:colOff>542924</xdr:colOff>
      <xdr:row>61</xdr:row>
      <xdr:rowOff>95554</xdr:rowOff>
    </xdr:to>
    <xdr:pic>
      <xdr:nvPicPr>
        <xdr:cNvPr id="38" name="Picture 37">
          <a:extLst>
            <a:ext uri="{FF2B5EF4-FFF2-40B4-BE49-F238E27FC236}">
              <a16:creationId xmlns:a16="http://schemas.microsoft.com/office/drawing/2014/main" id="{00000000-0008-0000-0500-000026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57899" y="752475"/>
          <a:ext cx="5762625" cy="8220379"/>
        </a:xfrm>
        <a:prstGeom prst="rect">
          <a:avLst/>
        </a:prstGeom>
      </xdr:spPr>
    </xdr:pic>
    <xdr:clientData/>
  </xdr:twoCellAnchor>
  <xdr:twoCellAnchor>
    <xdr:from>
      <xdr:col>17</xdr:col>
      <xdr:colOff>104775</xdr:colOff>
      <xdr:row>11</xdr:row>
      <xdr:rowOff>66675</xdr:rowOff>
    </xdr:from>
    <xdr:to>
      <xdr:col>20</xdr:col>
      <xdr:colOff>238125</xdr:colOff>
      <xdr:row>52</xdr:row>
      <xdr:rowOff>85725</xdr:rowOff>
    </xdr:to>
    <xdr:grpSp>
      <xdr:nvGrpSpPr>
        <xdr:cNvPr id="39" name="Group 38">
          <a:extLst>
            <a:ext uri="{FF2B5EF4-FFF2-40B4-BE49-F238E27FC236}">
              <a16:creationId xmlns:a16="http://schemas.microsoft.com/office/drawing/2014/main" id="{00000000-0008-0000-0500-000027000000}"/>
            </a:ext>
          </a:extLst>
        </xdr:cNvPr>
        <xdr:cNvGrpSpPr/>
      </xdr:nvGrpSpPr>
      <xdr:grpSpPr>
        <a:xfrm>
          <a:off x="6105525" y="1657350"/>
          <a:ext cx="1752600" cy="6038850"/>
          <a:chOff x="5772150" y="990600"/>
          <a:chExt cx="1752600" cy="6038850"/>
        </a:xfrm>
      </xdr:grpSpPr>
      <xdr:sp macro="" textlink="">
        <xdr:nvSpPr>
          <xdr:cNvPr id="40" name="TextBox 39">
            <a:extLst>
              <a:ext uri="{FF2B5EF4-FFF2-40B4-BE49-F238E27FC236}">
                <a16:creationId xmlns:a16="http://schemas.microsoft.com/office/drawing/2014/main" id="{00000000-0008-0000-0500-000028000000}"/>
              </a:ext>
            </a:extLst>
          </xdr:cNvPr>
          <xdr:cNvSpPr txBox="1"/>
        </xdr:nvSpPr>
        <xdr:spPr>
          <a:xfrm>
            <a:off x="5781675" y="5915025"/>
            <a:ext cx="174307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1"/>
              <a:t>Character </a:t>
            </a:r>
            <a:r>
              <a:rPr lang="en-US" sz="1000" b="1" i="1"/>
              <a:t>(Printer</a:t>
            </a:r>
            <a:r>
              <a:rPr lang="en-US" sz="1000" b="1" i="1" baseline="0"/>
              <a:t> Friendly)</a:t>
            </a:r>
            <a:r>
              <a:rPr lang="en-US" sz="1100" b="1" i="1"/>
              <a:t>:</a:t>
            </a:r>
          </a:p>
        </xdr:txBody>
      </xdr:sp>
      <xdr:sp macro="" textlink="">
        <xdr:nvSpPr>
          <xdr:cNvPr id="41" name="TextBox 40">
            <a:extLst>
              <a:ext uri="{FF2B5EF4-FFF2-40B4-BE49-F238E27FC236}">
                <a16:creationId xmlns:a16="http://schemas.microsoft.com/office/drawing/2014/main" id="{00000000-0008-0000-0500-000029000000}"/>
              </a:ext>
            </a:extLst>
          </xdr:cNvPr>
          <xdr:cNvSpPr txBox="1"/>
        </xdr:nvSpPr>
        <xdr:spPr>
          <a:xfrm>
            <a:off x="5781675" y="4629150"/>
            <a:ext cx="174307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1"/>
              <a:t>Character Building:</a:t>
            </a:r>
          </a:p>
        </xdr:txBody>
      </xdr:sp>
      <xdr:sp macro="" textlink="">
        <xdr:nvSpPr>
          <xdr:cNvPr id="42" name="TextBox 41">
            <a:extLst>
              <a:ext uri="{FF2B5EF4-FFF2-40B4-BE49-F238E27FC236}">
                <a16:creationId xmlns:a16="http://schemas.microsoft.com/office/drawing/2014/main" id="{00000000-0008-0000-0500-00002A000000}"/>
              </a:ext>
            </a:extLst>
          </xdr:cNvPr>
          <xdr:cNvSpPr txBox="1"/>
        </xdr:nvSpPr>
        <xdr:spPr>
          <a:xfrm>
            <a:off x="5772150" y="2590800"/>
            <a:ext cx="174307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1"/>
              <a:t>Character</a:t>
            </a:r>
            <a:r>
              <a:rPr lang="en-US" sz="1100" b="1" i="1" baseline="0"/>
              <a:t> Information</a:t>
            </a:r>
            <a:r>
              <a:rPr lang="en-US" sz="1100" b="1" i="1"/>
              <a:t>:</a:t>
            </a:r>
          </a:p>
        </xdr:txBody>
      </xdr:sp>
      <xdr:sp macro="" textlink="">
        <xdr:nvSpPr>
          <xdr:cNvPr id="43" name="TextBox 42">
            <a:hlinkClick xmlns:r="http://schemas.openxmlformats.org/officeDocument/2006/relationships" r:id="rId2"/>
            <a:extLst>
              <a:ext uri="{FF2B5EF4-FFF2-40B4-BE49-F238E27FC236}">
                <a16:creationId xmlns:a16="http://schemas.microsoft.com/office/drawing/2014/main" id="{00000000-0008-0000-0500-00002B000000}"/>
              </a:ext>
            </a:extLst>
          </xdr:cNvPr>
          <xdr:cNvSpPr txBox="1"/>
        </xdr:nvSpPr>
        <xdr:spPr>
          <a:xfrm>
            <a:off x="5772150" y="2867025"/>
            <a:ext cx="174307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u="sng">
                <a:solidFill>
                  <a:srgbClr val="0594FF"/>
                </a:solidFill>
              </a:rPr>
              <a:t>Character Sheet </a:t>
            </a:r>
            <a:r>
              <a:rPr lang="en-US" sz="1000" b="0" u="sng">
                <a:solidFill>
                  <a:srgbClr val="0594FF"/>
                </a:solidFill>
              </a:rPr>
              <a:t>(main)</a:t>
            </a:r>
          </a:p>
        </xdr:txBody>
      </xdr:sp>
      <xdr:sp macro="" textlink="">
        <xdr:nvSpPr>
          <xdr:cNvPr id="44" name="TextBox 43">
            <a:hlinkClick xmlns:r="http://schemas.openxmlformats.org/officeDocument/2006/relationships" r:id="rId3"/>
            <a:extLst>
              <a:ext uri="{FF2B5EF4-FFF2-40B4-BE49-F238E27FC236}">
                <a16:creationId xmlns:a16="http://schemas.microsoft.com/office/drawing/2014/main" id="{00000000-0008-0000-0500-00002C000000}"/>
              </a:ext>
            </a:extLst>
          </xdr:cNvPr>
          <xdr:cNvSpPr txBox="1"/>
        </xdr:nvSpPr>
        <xdr:spPr>
          <a:xfrm>
            <a:off x="5772150" y="3143250"/>
            <a:ext cx="174307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u="sng">
                <a:solidFill>
                  <a:srgbClr val="0594FF"/>
                </a:solidFill>
              </a:rPr>
              <a:t>Magic &amp; Psionics</a:t>
            </a:r>
          </a:p>
        </xdr:txBody>
      </xdr:sp>
      <xdr:sp macro="" textlink="">
        <xdr:nvSpPr>
          <xdr:cNvPr id="45" name="TextBox 44">
            <a:hlinkClick xmlns:r="http://schemas.openxmlformats.org/officeDocument/2006/relationships" r:id="rId4"/>
            <a:extLst>
              <a:ext uri="{FF2B5EF4-FFF2-40B4-BE49-F238E27FC236}">
                <a16:creationId xmlns:a16="http://schemas.microsoft.com/office/drawing/2014/main" id="{00000000-0008-0000-0500-00002D000000}"/>
              </a:ext>
            </a:extLst>
          </xdr:cNvPr>
          <xdr:cNvSpPr txBox="1"/>
        </xdr:nvSpPr>
        <xdr:spPr>
          <a:xfrm>
            <a:off x="5772150" y="3419475"/>
            <a:ext cx="174307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u="sng">
                <a:solidFill>
                  <a:srgbClr val="0594FF"/>
                </a:solidFill>
              </a:rPr>
              <a:t>Combat Sheet</a:t>
            </a:r>
          </a:p>
        </xdr:txBody>
      </xdr:sp>
      <xdr:sp macro="" textlink="">
        <xdr:nvSpPr>
          <xdr:cNvPr id="46" name="TextBox 45">
            <a:hlinkClick xmlns:r="http://schemas.openxmlformats.org/officeDocument/2006/relationships" r:id="rId5"/>
            <a:extLst>
              <a:ext uri="{FF2B5EF4-FFF2-40B4-BE49-F238E27FC236}">
                <a16:creationId xmlns:a16="http://schemas.microsoft.com/office/drawing/2014/main" id="{00000000-0008-0000-0500-00002E000000}"/>
              </a:ext>
            </a:extLst>
          </xdr:cNvPr>
          <xdr:cNvSpPr txBox="1"/>
        </xdr:nvSpPr>
        <xdr:spPr>
          <a:xfrm>
            <a:off x="5781675" y="4905375"/>
            <a:ext cx="174307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u="sng">
                <a:solidFill>
                  <a:srgbClr val="0594FF"/>
                </a:solidFill>
              </a:rPr>
              <a:t>Worktable </a:t>
            </a:r>
            <a:r>
              <a:rPr lang="en-US" sz="1000" b="0" u="sng">
                <a:solidFill>
                  <a:srgbClr val="0594FF"/>
                </a:solidFill>
              </a:rPr>
              <a:t>(Scratch Paper)</a:t>
            </a:r>
          </a:p>
        </xdr:txBody>
      </xdr:sp>
      <xdr:sp macro="" textlink="">
        <xdr:nvSpPr>
          <xdr:cNvPr id="47" name="TextBox 46">
            <a:hlinkClick xmlns:r="http://schemas.openxmlformats.org/officeDocument/2006/relationships" r:id="rId6"/>
            <a:extLst>
              <a:ext uri="{FF2B5EF4-FFF2-40B4-BE49-F238E27FC236}">
                <a16:creationId xmlns:a16="http://schemas.microsoft.com/office/drawing/2014/main" id="{00000000-0008-0000-0500-00002F000000}"/>
              </a:ext>
            </a:extLst>
          </xdr:cNvPr>
          <xdr:cNvSpPr txBox="1"/>
        </xdr:nvSpPr>
        <xdr:spPr>
          <a:xfrm>
            <a:off x="5781675" y="5181600"/>
            <a:ext cx="174307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u="sng">
                <a:solidFill>
                  <a:srgbClr val="0594FF"/>
                </a:solidFill>
              </a:rPr>
              <a:t>Skills Selection</a:t>
            </a:r>
          </a:p>
        </xdr:txBody>
      </xdr:sp>
      <xdr:sp macro="" textlink="">
        <xdr:nvSpPr>
          <xdr:cNvPr id="48" name="TextBox 47">
            <a:hlinkClick xmlns:r="http://schemas.openxmlformats.org/officeDocument/2006/relationships" r:id="rId7"/>
            <a:extLst>
              <a:ext uri="{FF2B5EF4-FFF2-40B4-BE49-F238E27FC236}">
                <a16:creationId xmlns:a16="http://schemas.microsoft.com/office/drawing/2014/main" id="{00000000-0008-0000-0500-000030000000}"/>
              </a:ext>
            </a:extLst>
          </xdr:cNvPr>
          <xdr:cNvSpPr txBox="1"/>
        </xdr:nvSpPr>
        <xdr:spPr>
          <a:xfrm>
            <a:off x="5781675" y="5457825"/>
            <a:ext cx="174307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u="sng">
                <a:solidFill>
                  <a:srgbClr val="0594FF"/>
                </a:solidFill>
              </a:rPr>
              <a:t>Customize</a:t>
            </a:r>
          </a:p>
        </xdr:txBody>
      </xdr:sp>
      <xdr:sp macro="" textlink="">
        <xdr:nvSpPr>
          <xdr:cNvPr id="49" name="TextBox 48">
            <a:hlinkClick xmlns:r="http://schemas.openxmlformats.org/officeDocument/2006/relationships" r:id="rId8"/>
            <a:extLst>
              <a:ext uri="{FF2B5EF4-FFF2-40B4-BE49-F238E27FC236}">
                <a16:creationId xmlns:a16="http://schemas.microsoft.com/office/drawing/2014/main" id="{00000000-0008-0000-0500-000031000000}"/>
              </a:ext>
            </a:extLst>
          </xdr:cNvPr>
          <xdr:cNvSpPr txBox="1"/>
        </xdr:nvSpPr>
        <xdr:spPr>
          <a:xfrm>
            <a:off x="5781675" y="6200775"/>
            <a:ext cx="174307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u="sng">
                <a:solidFill>
                  <a:srgbClr val="0594FF"/>
                </a:solidFill>
              </a:rPr>
              <a:t>Character Sheet </a:t>
            </a:r>
            <a:r>
              <a:rPr lang="en-US" sz="1000" b="0" u="sng">
                <a:solidFill>
                  <a:srgbClr val="0594FF"/>
                </a:solidFill>
              </a:rPr>
              <a:t>(main)</a:t>
            </a:r>
          </a:p>
        </xdr:txBody>
      </xdr:sp>
      <xdr:sp macro="" textlink="">
        <xdr:nvSpPr>
          <xdr:cNvPr id="50" name="TextBox 49">
            <a:hlinkClick xmlns:r="http://schemas.openxmlformats.org/officeDocument/2006/relationships" r:id="rId9"/>
            <a:extLst>
              <a:ext uri="{FF2B5EF4-FFF2-40B4-BE49-F238E27FC236}">
                <a16:creationId xmlns:a16="http://schemas.microsoft.com/office/drawing/2014/main" id="{00000000-0008-0000-0500-000032000000}"/>
              </a:ext>
            </a:extLst>
          </xdr:cNvPr>
          <xdr:cNvSpPr txBox="1"/>
        </xdr:nvSpPr>
        <xdr:spPr>
          <a:xfrm>
            <a:off x="5781675" y="6486525"/>
            <a:ext cx="174307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u="sng">
                <a:solidFill>
                  <a:srgbClr val="0594FF"/>
                </a:solidFill>
              </a:rPr>
              <a:t>Magic &amp; Psionics</a:t>
            </a:r>
          </a:p>
        </xdr:txBody>
      </xdr:sp>
      <xdr:sp macro="" textlink="">
        <xdr:nvSpPr>
          <xdr:cNvPr id="51" name="TextBox 50">
            <a:hlinkClick xmlns:r="http://schemas.openxmlformats.org/officeDocument/2006/relationships" r:id="rId10"/>
            <a:extLst>
              <a:ext uri="{FF2B5EF4-FFF2-40B4-BE49-F238E27FC236}">
                <a16:creationId xmlns:a16="http://schemas.microsoft.com/office/drawing/2014/main" id="{00000000-0008-0000-0500-000033000000}"/>
              </a:ext>
            </a:extLst>
          </xdr:cNvPr>
          <xdr:cNvSpPr txBox="1"/>
        </xdr:nvSpPr>
        <xdr:spPr>
          <a:xfrm>
            <a:off x="5781675" y="6772275"/>
            <a:ext cx="174307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u="sng">
                <a:solidFill>
                  <a:srgbClr val="0594FF"/>
                </a:solidFill>
              </a:rPr>
              <a:t>Combat Sheet</a:t>
            </a:r>
          </a:p>
        </xdr:txBody>
      </xdr:sp>
      <xdr:sp macro="" textlink="">
        <xdr:nvSpPr>
          <xdr:cNvPr id="52" name="TextBox 51">
            <a:extLst>
              <a:ext uri="{FF2B5EF4-FFF2-40B4-BE49-F238E27FC236}">
                <a16:creationId xmlns:a16="http://schemas.microsoft.com/office/drawing/2014/main" id="{00000000-0008-0000-0500-000034000000}"/>
              </a:ext>
            </a:extLst>
          </xdr:cNvPr>
          <xdr:cNvSpPr txBox="1"/>
        </xdr:nvSpPr>
        <xdr:spPr>
          <a:xfrm>
            <a:off x="5781675" y="990600"/>
            <a:ext cx="174307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1"/>
              <a:t>Introduction:</a:t>
            </a:r>
          </a:p>
        </xdr:txBody>
      </xdr:sp>
      <xdr:sp macro="" textlink="">
        <xdr:nvSpPr>
          <xdr:cNvPr id="53" name="TextBox 52">
            <a:hlinkClick xmlns:r="http://schemas.openxmlformats.org/officeDocument/2006/relationships" r:id="rId11"/>
            <a:extLst>
              <a:ext uri="{FF2B5EF4-FFF2-40B4-BE49-F238E27FC236}">
                <a16:creationId xmlns:a16="http://schemas.microsoft.com/office/drawing/2014/main" id="{00000000-0008-0000-0500-000035000000}"/>
              </a:ext>
            </a:extLst>
          </xdr:cNvPr>
          <xdr:cNvSpPr txBox="1"/>
        </xdr:nvSpPr>
        <xdr:spPr>
          <a:xfrm>
            <a:off x="5781675" y="1266825"/>
            <a:ext cx="174307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u="sng">
                <a:solidFill>
                  <a:srgbClr val="0594FF"/>
                </a:solidFill>
              </a:rPr>
              <a:t>Cover Page</a:t>
            </a:r>
          </a:p>
        </xdr:txBody>
      </xdr:sp>
      <xdr:sp macro="" textlink="">
        <xdr:nvSpPr>
          <xdr:cNvPr id="54" name="TextBox 53">
            <a:hlinkClick xmlns:r="http://schemas.openxmlformats.org/officeDocument/2006/relationships" r:id="rId12"/>
            <a:extLst>
              <a:ext uri="{FF2B5EF4-FFF2-40B4-BE49-F238E27FC236}">
                <a16:creationId xmlns:a16="http://schemas.microsoft.com/office/drawing/2014/main" id="{00000000-0008-0000-0500-000036000000}"/>
              </a:ext>
            </a:extLst>
          </xdr:cNvPr>
          <xdr:cNvSpPr txBox="1"/>
        </xdr:nvSpPr>
        <xdr:spPr>
          <a:xfrm>
            <a:off x="5781675" y="1543050"/>
            <a:ext cx="174307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u="sng">
                <a:solidFill>
                  <a:srgbClr val="0594FF"/>
                </a:solidFill>
              </a:rPr>
              <a:t>Instructions</a:t>
            </a:r>
          </a:p>
        </xdr:txBody>
      </xdr:sp>
      <xdr:sp macro="" textlink="">
        <xdr:nvSpPr>
          <xdr:cNvPr id="55" name="TextBox 54">
            <a:hlinkClick xmlns:r="http://schemas.openxmlformats.org/officeDocument/2006/relationships" r:id="rId13"/>
            <a:extLst>
              <a:ext uri="{FF2B5EF4-FFF2-40B4-BE49-F238E27FC236}">
                <a16:creationId xmlns:a16="http://schemas.microsoft.com/office/drawing/2014/main" id="{00000000-0008-0000-0500-000037000000}"/>
              </a:ext>
            </a:extLst>
          </xdr:cNvPr>
          <xdr:cNvSpPr txBox="1"/>
        </xdr:nvSpPr>
        <xdr:spPr>
          <a:xfrm>
            <a:off x="5781675" y="1819275"/>
            <a:ext cx="174307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u="sng">
                <a:solidFill>
                  <a:srgbClr val="0594FF"/>
                </a:solidFill>
              </a:rPr>
              <a:t>Legal Information</a:t>
            </a:r>
          </a:p>
        </xdr:txBody>
      </xdr:sp>
      <xdr:sp macro="" textlink="">
        <xdr:nvSpPr>
          <xdr:cNvPr id="56" name="TextBox 55">
            <a:hlinkClick xmlns:r="http://schemas.openxmlformats.org/officeDocument/2006/relationships" r:id="rId14"/>
            <a:extLst>
              <a:ext uri="{FF2B5EF4-FFF2-40B4-BE49-F238E27FC236}">
                <a16:creationId xmlns:a16="http://schemas.microsoft.com/office/drawing/2014/main" id="{00000000-0008-0000-0500-000038000000}"/>
              </a:ext>
            </a:extLst>
          </xdr:cNvPr>
          <xdr:cNvSpPr txBox="1"/>
        </xdr:nvSpPr>
        <xdr:spPr>
          <a:xfrm>
            <a:off x="5781675" y="2095500"/>
            <a:ext cx="174307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u="sng">
                <a:solidFill>
                  <a:srgbClr val="0594FF"/>
                </a:solidFill>
              </a:rPr>
              <a:t>Editor's Notes</a:t>
            </a:r>
          </a:p>
        </xdr:txBody>
      </xdr:sp>
    </xdr:grpSp>
    <xdr:clientData/>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76200</xdr:colOff>
          <xdr:row>5</xdr:row>
          <xdr:rowOff>0</xdr:rowOff>
        </xdr:from>
        <xdr:to>
          <xdr:col>10</xdr:col>
          <xdr:colOff>76200</xdr:colOff>
          <xdr:row>6</xdr:row>
          <xdr:rowOff>0</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6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6</xdr:row>
          <xdr:rowOff>0</xdr:rowOff>
        </xdr:from>
        <xdr:to>
          <xdr:col>10</xdr:col>
          <xdr:colOff>76200</xdr:colOff>
          <xdr:row>7</xdr:row>
          <xdr:rowOff>0</xdr:rowOff>
        </xdr:to>
        <xdr:sp macro="" textlink="">
          <xdr:nvSpPr>
            <xdr:cNvPr id="8194" name="Check Box 2" hidden="1">
              <a:extLst>
                <a:ext uri="{63B3BB69-23CF-44E3-9099-C40C66FF867C}">
                  <a14:compatExt spid="_x0000_s8194"/>
                </a:ext>
                <a:ext uri="{FF2B5EF4-FFF2-40B4-BE49-F238E27FC236}">
                  <a16:creationId xmlns:a16="http://schemas.microsoft.com/office/drawing/2014/main" id="{00000000-0008-0000-0600-00000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7</xdr:row>
          <xdr:rowOff>0</xdr:rowOff>
        </xdr:from>
        <xdr:to>
          <xdr:col>10</xdr:col>
          <xdr:colOff>76200</xdr:colOff>
          <xdr:row>8</xdr:row>
          <xdr:rowOff>0</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6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8</xdr:row>
          <xdr:rowOff>0</xdr:rowOff>
        </xdr:from>
        <xdr:to>
          <xdr:col>10</xdr:col>
          <xdr:colOff>76200</xdr:colOff>
          <xdr:row>9</xdr:row>
          <xdr:rowOff>0</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6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9</xdr:row>
          <xdr:rowOff>0</xdr:rowOff>
        </xdr:from>
        <xdr:to>
          <xdr:col>10</xdr:col>
          <xdr:colOff>76200</xdr:colOff>
          <xdr:row>10</xdr:row>
          <xdr:rowOff>0</xdr:rowOff>
        </xdr:to>
        <xdr:sp macro="" textlink="">
          <xdr:nvSpPr>
            <xdr:cNvPr id="8197" name="Check Box 5" hidden="1">
              <a:extLst>
                <a:ext uri="{63B3BB69-23CF-44E3-9099-C40C66FF867C}">
                  <a14:compatExt spid="_x0000_s8197"/>
                </a:ext>
                <a:ext uri="{FF2B5EF4-FFF2-40B4-BE49-F238E27FC236}">
                  <a16:creationId xmlns:a16="http://schemas.microsoft.com/office/drawing/2014/main" id="{00000000-0008-0000-06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10</xdr:row>
          <xdr:rowOff>0</xdr:rowOff>
        </xdr:from>
        <xdr:to>
          <xdr:col>10</xdr:col>
          <xdr:colOff>76200</xdr:colOff>
          <xdr:row>11</xdr:row>
          <xdr:rowOff>0</xdr:rowOff>
        </xdr:to>
        <xdr:sp macro="" textlink="">
          <xdr:nvSpPr>
            <xdr:cNvPr id="8198" name="Check Box 6" hidden="1">
              <a:extLst>
                <a:ext uri="{63B3BB69-23CF-44E3-9099-C40C66FF867C}">
                  <a14:compatExt spid="_x0000_s8198"/>
                </a:ext>
                <a:ext uri="{FF2B5EF4-FFF2-40B4-BE49-F238E27FC236}">
                  <a16:creationId xmlns:a16="http://schemas.microsoft.com/office/drawing/2014/main" id="{00000000-0008-0000-06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11</xdr:row>
          <xdr:rowOff>0</xdr:rowOff>
        </xdr:from>
        <xdr:to>
          <xdr:col>10</xdr:col>
          <xdr:colOff>76200</xdr:colOff>
          <xdr:row>12</xdr:row>
          <xdr:rowOff>0</xdr:rowOff>
        </xdr:to>
        <xdr:sp macro="" textlink="">
          <xdr:nvSpPr>
            <xdr:cNvPr id="8199" name="Check Box 7" hidden="1">
              <a:extLst>
                <a:ext uri="{63B3BB69-23CF-44E3-9099-C40C66FF867C}">
                  <a14:compatExt spid="_x0000_s8199"/>
                </a:ext>
                <a:ext uri="{FF2B5EF4-FFF2-40B4-BE49-F238E27FC236}">
                  <a16:creationId xmlns:a16="http://schemas.microsoft.com/office/drawing/2014/main" id="{00000000-0008-0000-0600-00000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12</xdr:row>
          <xdr:rowOff>0</xdr:rowOff>
        </xdr:from>
        <xdr:to>
          <xdr:col>10</xdr:col>
          <xdr:colOff>76200</xdr:colOff>
          <xdr:row>13</xdr:row>
          <xdr:rowOff>0</xdr:rowOff>
        </xdr:to>
        <xdr:sp macro="" textlink="">
          <xdr:nvSpPr>
            <xdr:cNvPr id="8200" name="Check Box 8" hidden="1">
              <a:extLst>
                <a:ext uri="{63B3BB69-23CF-44E3-9099-C40C66FF867C}">
                  <a14:compatExt spid="_x0000_s8200"/>
                </a:ext>
                <a:ext uri="{FF2B5EF4-FFF2-40B4-BE49-F238E27FC236}">
                  <a16:creationId xmlns:a16="http://schemas.microsoft.com/office/drawing/2014/main" id="{00000000-0008-0000-0600-00000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13</xdr:row>
          <xdr:rowOff>0</xdr:rowOff>
        </xdr:from>
        <xdr:to>
          <xdr:col>10</xdr:col>
          <xdr:colOff>76200</xdr:colOff>
          <xdr:row>14</xdr:row>
          <xdr:rowOff>0</xdr:rowOff>
        </xdr:to>
        <xdr:sp macro="" textlink="">
          <xdr:nvSpPr>
            <xdr:cNvPr id="8201" name="Check Box 9" hidden="1">
              <a:extLst>
                <a:ext uri="{63B3BB69-23CF-44E3-9099-C40C66FF867C}">
                  <a14:compatExt spid="_x0000_s8201"/>
                </a:ext>
                <a:ext uri="{FF2B5EF4-FFF2-40B4-BE49-F238E27FC236}">
                  <a16:creationId xmlns:a16="http://schemas.microsoft.com/office/drawing/2014/main" id="{00000000-0008-0000-0600-00000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14</xdr:row>
          <xdr:rowOff>0</xdr:rowOff>
        </xdr:from>
        <xdr:to>
          <xdr:col>10</xdr:col>
          <xdr:colOff>76200</xdr:colOff>
          <xdr:row>15</xdr:row>
          <xdr:rowOff>0</xdr:rowOff>
        </xdr:to>
        <xdr:sp macro="" textlink="">
          <xdr:nvSpPr>
            <xdr:cNvPr id="8202" name="Check Box 10" hidden="1">
              <a:extLst>
                <a:ext uri="{63B3BB69-23CF-44E3-9099-C40C66FF867C}">
                  <a14:compatExt spid="_x0000_s8202"/>
                </a:ext>
                <a:ext uri="{FF2B5EF4-FFF2-40B4-BE49-F238E27FC236}">
                  <a16:creationId xmlns:a16="http://schemas.microsoft.com/office/drawing/2014/main" id="{00000000-0008-0000-0600-00000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15</xdr:row>
          <xdr:rowOff>0</xdr:rowOff>
        </xdr:from>
        <xdr:to>
          <xdr:col>10</xdr:col>
          <xdr:colOff>76200</xdr:colOff>
          <xdr:row>16</xdr:row>
          <xdr:rowOff>0</xdr:rowOff>
        </xdr:to>
        <xdr:sp macro="" textlink="">
          <xdr:nvSpPr>
            <xdr:cNvPr id="8203" name="Check Box 11" hidden="1">
              <a:extLst>
                <a:ext uri="{63B3BB69-23CF-44E3-9099-C40C66FF867C}">
                  <a14:compatExt spid="_x0000_s8203"/>
                </a:ext>
                <a:ext uri="{FF2B5EF4-FFF2-40B4-BE49-F238E27FC236}">
                  <a16:creationId xmlns:a16="http://schemas.microsoft.com/office/drawing/2014/main" id="{00000000-0008-0000-0600-00000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16</xdr:row>
          <xdr:rowOff>0</xdr:rowOff>
        </xdr:from>
        <xdr:to>
          <xdr:col>10</xdr:col>
          <xdr:colOff>76200</xdr:colOff>
          <xdr:row>17</xdr:row>
          <xdr:rowOff>0</xdr:rowOff>
        </xdr:to>
        <xdr:sp macro="" textlink="">
          <xdr:nvSpPr>
            <xdr:cNvPr id="8204" name="Check Box 12" hidden="1">
              <a:extLst>
                <a:ext uri="{63B3BB69-23CF-44E3-9099-C40C66FF867C}">
                  <a14:compatExt spid="_x0000_s8204"/>
                </a:ext>
                <a:ext uri="{FF2B5EF4-FFF2-40B4-BE49-F238E27FC236}">
                  <a16:creationId xmlns:a16="http://schemas.microsoft.com/office/drawing/2014/main" id="{00000000-0008-0000-0600-00000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17</xdr:row>
          <xdr:rowOff>0</xdr:rowOff>
        </xdr:from>
        <xdr:to>
          <xdr:col>10</xdr:col>
          <xdr:colOff>76200</xdr:colOff>
          <xdr:row>18</xdr:row>
          <xdr:rowOff>0</xdr:rowOff>
        </xdr:to>
        <xdr:sp macro="" textlink="">
          <xdr:nvSpPr>
            <xdr:cNvPr id="8205" name="Check Box 13" hidden="1">
              <a:extLst>
                <a:ext uri="{63B3BB69-23CF-44E3-9099-C40C66FF867C}">
                  <a14:compatExt spid="_x0000_s8205"/>
                </a:ext>
                <a:ext uri="{FF2B5EF4-FFF2-40B4-BE49-F238E27FC236}">
                  <a16:creationId xmlns:a16="http://schemas.microsoft.com/office/drawing/2014/main" id="{00000000-0008-0000-0600-00000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18</xdr:row>
          <xdr:rowOff>0</xdr:rowOff>
        </xdr:from>
        <xdr:to>
          <xdr:col>10</xdr:col>
          <xdr:colOff>76200</xdr:colOff>
          <xdr:row>19</xdr:row>
          <xdr:rowOff>0</xdr:rowOff>
        </xdr:to>
        <xdr:sp macro="" textlink="">
          <xdr:nvSpPr>
            <xdr:cNvPr id="8206" name="Check Box 14" hidden="1">
              <a:extLst>
                <a:ext uri="{63B3BB69-23CF-44E3-9099-C40C66FF867C}">
                  <a14:compatExt spid="_x0000_s8206"/>
                </a:ext>
                <a:ext uri="{FF2B5EF4-FFF2-40B4-BE49-F238E27FC236}">
                  <a16:creationId xmlns:a16="http://schemas.microsoft.com/office/drawing/2014/main" id="{00000000-0008-0000-0600-00000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19</xdr:row>
          <xdr:rowOff>0</xdr:rowOff>
        </xdr:from>
        <xdr:to>
          <xdr:col>10</xdr:col>
          <xdr:colOff>76200</xdr:colOff>
          <xdr:row>20</xdr:row>
          <xdr:rowOff>0</xdr:rowOff>
        </xdr:to>
        <xdr:sp macro="" textlink="">
          <xdr:nvSpPr>
            <xdr:cNvPr id="8207" name="Check Box 15" hidden="1">
              <a:extLst>
                <a:ext uri="{63B3BB69-23CF-44E3-9099-C40C66FF867C}">
                  <a14:compatExt spid="_x0000_s8207"/>
                </a:ext>
                <a:ext uri="{FF2B5EF4-FFF2-40B4-BE49-F238E27FC236}">
                  <a16:creationId xmlns:a16="http://schemas.microsoft.com/office/drawing/2014/main" id="{00000000-0008-0000-0600-00000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20</xdr:row>
          <xdr:rowOff>0</xdr:rowOff>
        </xdr:from>
        <xdr:to>
          <xdr:col>10</xdr:col>
          <xdr:colOff>76200</xdr:colOff>
          <xdr:row>21</xdr:row>
          <xdr:rowOff>0</xdr:rowOff>
        </xdr:to>
        <xdr:sp macro="" textlink="">
          <xdr:nvSpPr>
            <xdr:cNvPr id="8208" name="Check Box 16" hidden="1">
              <a:extLst>
                <a:ext uri="{63B3BB69-23CF-44E3-9099-C40C66FF867C}">
                  <a14:compatExt spid="_x0000_s8208"/>
                </a:ext>
                <a:ext uri="{FF2B5EF4-FFF2-40B4-BE49-F238E27FC236}">
                  <a16:creationId xmlns:a16="http://schemas.microsoft.com/office/drawing/2014/main" id="{00000000-0008-0000-0600-00001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21</xdr:row>
          <xdr:rowOff>0</xdr:rowOff>
        </xdr:from>
        <xdr:to>
          <xdr:col>10</xdr:col>
          <xdr:colOff>76200</xdr:colOff>
          <xdr:row>22</xdr:row>
          <xdr:rowOff>0</xdr:rowOff>
        </xdr:to>
        <xdr:sp macro="" textlink="">
          <xdr:nvSpPr>
            <xdr:cNvPr id="8209" name="Check Box 17" hidden="1">
              <a:extLst>
                <a:ext uri="{63B3BB69-23CF-44E3-9099-C40C66FF867C}">
                  <a14:compatExt spid="_x0000_s8209"/>
                </a:ext>
                <a:ext uri="{FF2B5EF4-FFF2-40B4-BE49-F238E27FC236}">
                  <a16:creationId xmlns:a16="http://schemas.microsoft.com/office/drawing/2014/main" id="{00000000-0008-0000-0600-00001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22</xdr:row>
          <xdr:rowOff>0</xdr:rowOff>
        </xdr:from>
        <xdr:to>
          <xdr:col>10</xdr:col>
          <xdr:colOff>76200</xdr:colOff>
          <xdr:row>23</xdr:row>
          <xdr:rowOff>0</xdr:rowOff>
        </xdr:to>
        <xdr:sp macro="" textlink="">
          <xdr:nvSpPr>
            <xdr:cNvPr id="8210" name="Check Box 18" hidden="1">
              <a:extLst>
                <a:ext uri="{63B3BB69-23CF-44E3-9099-C40C66FF867C}">
                  <a14:compatExt spid="_x0000_s8210"/>
                </a:ext>
                <a:ext uri="{FF2B5EF4-FFF2-40B4-BE49-F238E27FC236}">
                  <a16:creationId xmlns:a16="http://schemas.microsoft.com/office/drawing/2014/main" id="{00000000-0008-0000-0600-00001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32</xdr:row>
          <xdr:rowOff>9525</xdr:rowOff>
        </xdr:from>
        <xdr:to>
          <xdr:col>1</xdr:col>
          <xdr:colOff>0</xdr:colOff>
          <xdr:row>39</xdr:row>
          <xdr:rowOff>9525</xdr:rowOff>
        </xdr:to>
        <xdr:sp macro="" textlink="">
          <xdr:nvSpPr>
            <xdr:cNvPr id="8215" name="Group Box 23" hidden="1">
              <a:extLst>
                <a:ext uri="{63B3BB69-23CF-44E3-9099-C40C66FF867C}">
                  <a14:compatExt spid="_x0000_s8215"/>
                </a:ext>
                <a:ext uri="{FF2B5EF4-FFF2-40B4-BE49-F238E27FC236}">
                  <a16:creationId xmlns:a16="http://schemas.microsoft.com/office/drawing/2014/main" id="{00000000-0008-0000-0600-000017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42</xdr:row>
          <xdr:rowOff>0</xdr:rowOff>
        </xdr:from>
        <xdr:to>
          <xdr:col>1</xdr:col>
          <xdr:colOff>9525</xdr:colOff>
          <xdr:row>57</xdr:row>
          <xdr:rowOff>152400</xdr:rowOff>
        </xdr:to>
        <xdr:sp macro="" textlink="">
          <xdr:nvSpPr>
            <xdr:cNvPr id="8216" name="Group Box 24" hidden="1">
              <a:extLst>
                <a:ext uri="{63B3BB69-23CF-44E3-9099-C40C66FF867C}">
                  <a14:compatExt spid="_x0000_s8216"/>
                </a:ext>
                <a:ext uri="{FF2B5EF4-FFF2-40B4-BE49-F238E27FC236}">
                  <a16:creationId xmlns:a16="http://schemas.microsoft.com/office/drawing/2014/main" id="{00000000-0008-0000-0600-000018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42</xdr:row>
          <xdr:rowOff>0</xdr:rowOff>
        </xdr:from>
        <xdr:to>
          <xdr:col>2</xdr:col>
          <xdr:colOff>9525</xdr:colOff>
          <xdr:row>57</xdr:row>
          <xdr:rowOff>152400</xdr:rowOff>
        </xdr:to>
        <xdr:sp macro="" textlink="">
          <xdr:nvSpPr>
            <xdr:cNvPr id="8217" name="Group Box 25" hidden="1">
              <a:extLst>
                <a:ext uri="{63B3BB69-23CF-44E3-9099-C40C66FF867C}">
                  <a14:compatExt spid="_x0000_s8217"/>
                </a:ext>
                <a:ext uri="{FF2B5EF4-FFF2-40B4-BE49-F238E27FC236}">
                  <a16:creationId xmlns:a16="http://schemas.microsoft.com/office/drawing/2014/main" id="{00000000-0008-0000-0600-000019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42</xdr:row>
          <xdr:rowOff>9525</xdr:rowOff>
        </xdr:from>
        <xdr:to>
          <xdr:col>0</xdr:col>
          <xdr:colOff>190500</xdr:colOff>
          <xdr:row>43</xdr:row>
          <xdr:rowOff>0</xdr:rowOff>
        </xdr:to>
        <xdr:sp macro="" textlink="">
          <xdr:nvSpPr>
            <xdr:cNvPr id="8218" name="Option Button 26" hidden="1">
              <a:extLst>
                <a:ext uri="{63B3BB69-23CF-44E3-9099-C40C66FF867C}">
                  <a14:compatExt spid="_x0000_s8218"/>
                </a:ext>
                <a:ext uri="{FF2B5EF4-FFF2-40B4-BE49-F238E27FC236}">
                  <a16:creationId xmlns:a16="http://schemas.microsoft.com/office/drawing/2014/main" id="{00000000-0008-0000-0600-00001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47</xdr:row>
          <xdr:rowOff>9525</xdr:rowOff>
        </xdr:from>
        <xdr:to>
          <xdr:col>0</xdr:col>
          <xdr:colOff>190500</xdr:colOff>
          <xdr:row>48</xdr:row>
          <xdr:rowOff>0</xdr:rowOff>
        </xdr:to>
        <xdr:sp macro="" textlink="">
          <xdr:nvSpPr>
            <xdr:cNvPr id="8219" name="Option Button 27" hidden="1">
              <a:extLst>
                <a:ext uri="{63B3BB69-23CF-44E3-9099-C40C66FF867C}">
                  <a14:compatExt spid="_x0000_s8219"/>
                </a:ext>
                <a:ext uri="{FF2B5EF4-FFF2-40B4-BE49-F238E27FC236}">
                  <a16:creationId xmlns:a16="http://schemas.microsoft.com/office/drawing/2014/main" id="{00000000-0008-0000-0600-00001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52</xdr:row>
          <xdr:rowOff>9525</xdr:rowOff>
        </xdr:from>
        <xdr:to>
          <xdr:col>0</xdr:col>
          <xdr:colOff>190500</xdr:colOff>
          <xdr:row>53</xdr:row>
          <xdr:rowOff>0</xdr:rowOff>
        </xdr:to>
        <xdr:sp macro="" textlink="">
          <xdr:nvSpPr>
            <xdr:cNvPr id="8220" name="Option Button 28" hidden="1">
              <a:extLst>
                <a:ext uri="{63B3BB69-23CF-44E3-9099-C40C66FF867C}">
                  <a14:compatExt spid="_x0000_s8220"/>
                </a:ext>
                <a:ext uri="{FF2B5EF4-FFF2-40B4-BE49-F238E27FC236}">
                  <a16:creationId xmlns:a16="http://schemas.microsoft.com/office/drawing/2014/main" id="{00000000-0008-0000-0600-00001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54</xdr:row>
          <xdr:rowOff>9525</xdr:rowOff>
        </xdr:from>
        <xdr:to>
          <xdr:col>0</xdr:col>
          <xdr:colOff>190500</xdr:colOff>
          <xdr:row>55</xdr:row>
          <xdr:rowOff>0</xdr:rowOff>
        </xdr:to>
        <xdr:sp macro="" textlink="">
          <xdr:nvSpPr>
            <xdr:cNvPr id="8221" name="Option Button 29" hidden="1">
              <a:extLst>
                <a:ext uri="{63B3BB69-23CF-44E3-9099-C40C66FF867C}">
                  <a14:compatExt spid="_x0000_s8221"/>
                </a:ext>
                <a:ext uri="{FF2B5EF4-FFF2-40B4-BE49-F238E27FC236}">
                  <a16:creationId xmlns:a16="http://schemas.microsoft.com/office/drawing/2014/main" id="{00000000-0008-0000-0600-00001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56</xdr:row>
          <xdr:rowOff>9525</xdr:rowOff>
        </xdr:from>
        <xdr:to>
          <xdr:col>0</xdr:col>
          <xdr:colOff>190500</xdr:colOff>
          <xdr:row>57</xdr:row>
          <xdr:rowOff>0</xdr:rowOff>
        </xdr:to>
        <xdr:sp macro="" textlink="">
          <xdr:nvSpPr>
            <xdr:cNvPr id="8222" name="Option Button 30" hidden="1">
              <a:extLst>
                <a:ext uri="{63B3BB69-23CF-44E3-9099-C40C66FF867C}">
                  <a14:compatExt spid="_x0000_s8222"/>
                </a:ext>
                <a:ext uri="{FF2B5EF4-FFF2-40B4-BE49-F238E27FC236}">
                  <a16:creationId xmlns:a16="http://schemas.microsoft.com/office/drawing/2014/main" id="{00000000-0008-0000-0600-00001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42</xdr:row>
          <xdr:rowOff>9525</xdr:rowOff>
        </xdr:from>
        <xdr:to>
          <xdr:col>1</xdr:col>
          <xdr:colOff>190500</xdr:colOff>
          <xdr:row>43</xdr:row>
          <xdr:rowOff>0</xdr:rowOff>
        </xdr:to>
        <xdr:sp macro="" textlink="">
          <xdr:nvSpPr>
            <xdr:cNvPr id="8223" name="Option Button 31" hidden="1">
              <a:extLst>
                <a:ext uri="{63B3BB69-23CF-44E3-9099-C40C66FF867C}">
                  <a14:compatExt spid="_x0000_s8223"/>
                </a:ext>
                <a:ext uri="{FF2B5EF4-FFF2-40B4-BE49-F238E27FC236}">
                  <a16:creationId xmlns:a16="http://schemas.microsoft.com/office/drawing/2014/main" id="{00000000-0008-0000-0600-00001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47</xdr:row>
          <xdr:rowOff>9525</xdr:rowOff>
        </xdr:from>
        <xdr:to>
          <xdr:col>1</xdr:col>
          <xdr:colOff>190500</xdr:colOff>
          <xdr:row>48</xdr:row>
          <xdr:rowOff>0</xdr:rowOff>
        </xdr:to>
        <xdr:sp macro="" textlink="">
          <xdr:nvSpPr>
            <xdr:cNvPr id="8224" name="Option Button 32" hidden="1">
              <a:extLst>
                <a:ext uri="{63B3BB69-23CF-44E3-9099-C40C66FF867C}">
                  <a14:compatExt spid="_x0000_s8224"/>
                </a:ext>
                <a:ext uri="{FF2B5EF4-FFF2-40B4-BE49-F238E27FC236}">
                  <a16:creationId xmlns:a16="http://schemas.microsoft.com/office/drawing/2014/main" id="{00000000-0008-0000-0600-00002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52</xdr:row>
          <xdr:rowOff>9525</xdr:rowOff>
        </xdr:from>
        <xdr:to>
          <xdr:col>1</xdr:col>
          <xdr:colOff>190500</xdr:colOff>
          <xdr:row>53</xdr:row>
          <xdr:rowOff>0</xdr:rowOff>
        </xdr:to>
        <xdr:sp macro="" textlink="">
          <xdr:nvSpPr>
            <xdr:cNvPr id="8225" name="Option Button 33" hidden="1">
              <a:extLst>
                <a:ext uri="{63B3BB69-23CF-44E3-9099-C40C66FF867C}">
                  <a14:compatExt spid="_x0000_s8225"/>
                </a:ext>
                <a:ext uri="{FF2B5EF4-FFF2-40B4-BE49-F238E27FC236}">
                  <a16:creationId xmlns:a16="http://schemas.microsoft.com/office/drawing/2014/main" id="{00000000-0008-0000-0600-00002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54</xdr:row>
          <xdr:rowOff>9525</xdr:rowOff>
        </xdr:from>
        <xdr:to>
          <xdr:col>1</xdr:col>
          <xdr:colOff>190500</xdr:colOff>
          <xdr:row>55</xdr:row>
          <xdr:rowOff>0</xdr:rowOff>
        </xdr:to>
        <xdr:sp macro="" textlink="">
          <xdr:nvSpPr>
            <xdr:cNvPr id="8226" name="Option Button 34" hidden="1">
              <a:extLst>
                <a:ext uri="{63B3BB69-23CF-44E3-9099-C40C66FF867C}">
                  <a14:compatExt spid="_x0000_s8226"/>
                </a:ext>
                <a:ext uri="{FF2B5EF4-FFF2-40B4-BE49-F238E27FC236}">
                  <a16:creationId xmlns:a16="http://schemas.microsoft.com/office/drawing/2014/main" id="{00000000-0008-0000-0600-00002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56</xdr:row>
          <xdr:rowOff>9525</xdr:rowOff>
        </xdr:from>
        <xdr:to>
          <xdr:col>1</xdr:col>
          <xdr:colOff>190500</xdr:colOff>
          <xdr:row>57</xdr:row>
          <xdr:rowOff>0</xdr:rowOff>
        </xdr:to>
        <xdr:sp macro="" textlink="">
          <xdr:nvSpPr>
            <xdr:cNvPr id="8227" name="Option Button 35" hidden="1">
              <a:extLst>
                <a:ext uri="{63B3BB69-23CF-44E3-9099-C40C66FF867C}">
                  <a14:compatExt spid="_x0000_s8227"/>
                </a:ext>
                <a:ext uri="{FF2B5EF4-FFF2-40B4-BE49-F238E27FC236}">
                  <a16:creationId xmlns:a16="http://schemas.microsoft.com/office/drawing/2014/main" id="{00000000-0008-0000-0600-00002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32</xdr:row>
          <xdr:rowOff>9525</xdr:rowOff>
        </xdr:from>
        <xdr:to>
          <xdr:col>0</xdr:col>
          <xdr:colOff>190500</xdr:colOff>
          <xdr:row>33</xdr:row>
          <xdr:rowOff>0</xdr:rowOff>
        </xdr:to>
        <xdr:sp macro="" textlink="">
          <xdr:nvSpPr>
            <xdr:cNvPr id="8228" name="Option Button 36" hidden="1">
              <a:extLst>
                <a:ext uri="{63B3BB69-23CF-44E3-9099-C40C66FF867C}">
                  <a14:compatExt spid="_x0000_s8228"/>
                </a:ext>
                <a:ext uri="{FF2B5EF4-FFF2-40B4-BE49-F238E27FC236}">
                  <a16:creationId xmlns:a16="http://schemas.microsoft.com/office/drawing/2014/main" id="{00000000-0008-0000-0600-00002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37</xdr:row>
          <xdr:rowOff>9525</xdr:rowOff>
        </xdr:from>
        <xdr:to>
          <xdr:col>0</xdr:col>
          <xdr:colOff>190500</xdr:colOff>
          <xdr:row>38</xdr:row>
          <xdr:rowOff>0</xdr:rowOff>
        </xdr:to>
        <xdr:sp macro="" textlink="">
          <xdr:nvSpPr>
            <xdr:cNvPr id="8229" name="Option Button 37" hidden="1">
              <a:extLst>
                <a:ext uri="{63B3BB69-23CF-44E3-9099-C40C66FF867C}">
                  <a14:compatExt spid="_x0000_s8229"/>
                </a:ext>
                <a:ext uri="{FF2B5EF4-FFF2-40B4-BE49-F238E27FC236}">
                  <a16:creationId xmlns:a16="http://schemas.microsoft.com/office/drawing/2014/main" id="{00000000-0008-0000-0600-00002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38</xdr:row>
          <xdr:rowOff>9525</xdr:rowOff>
        </xdr:from>
        <xdr:to>
          <xdr:col>0</xdr:col>
          <xdr:colOff>190500</xdr:colOff>
          <xdr:row>39</xdr:row>
          <xdr:rowOff>0</xdr:rowOff>
        </xdr:to>
        <xdr:sp macro="" textlink="">
          <xdr:nvSpPr>
            <xdr:cNvPr id="8230" name="Option Button 38" hidden="1">
              <a:extLst>
                <a:ext uri="{63B3BB69-23CF-44E3-9099-C40C66FF867C}">
                  <a14:compatExt spid="_x0000_s8230"/>
                </a:ext>
                <a:ext uri="{FF2B5EF4-FFF2-40B4-BE49-F238E27FC236}">
                  <a16:creationId xmlns:a16="http://schemas.microsoft.com/office/drawing/2014/main" id="{00000000-0008-0000-0600-00002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11</xdr:row>
          <xdr:rowOff>0</xdr:rowOff>
        </xdr:from>
        <xdr:to>
          <xdr:col>10</xdr:col>
          <xdr:colOff>76200</xdr:colOff>
          <xdr:row>12</xdr:row>
          <xdr:rowOff>0</xdr:rowOff>
        </xdr:to>
        <xdr:sp macro="" textlink="">
          <xdr:nvSpPr>
            <xdr:cNvPr id="8231" name="Check Box 39" hidden="1">
              <a:extLst>
                <a:ext uri="{63B3BB69-23CF-44E3-9099-C40C66FF867C}">
                  <a14:compatExt spid="_x0000_s8231"/>
                </a:ext>
                <a:ext uri="{FF2B5EF4-FFF2-40B4-BE49-F238E27FC236}">
                  <a16:creationId xmlns:a16="http://schemas.microsoft.com/office/drawing/2014/main" id="{00000000-0008-0000-0600-00002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12</xdr:row>
          <xdr:rowOff>0</xdr:rowOff>
        </xdr:from>
        <xdr:to>
          <xdr:col>10</xdr:col>
          <xdr:colOff>76200</xdr:colOff>
          <xdr:row>13</xdr:row>
          <xdr:rowOff>0</xdr:rowOff>
        </xdr:to>
        <xdr:sp macro="" textlink="">
          <xdr:nvSpPr>
            <xdr:cNvPr id="8232" name="Check Box 40" hidden="1">
              <a:extLst>
                <a:ext uri="{63B3BB69-23CF-44E3-9099-C40C66FF867C}">
                  <a14:compatExt spid="_x0000_s8232"/>
                </a:ext>
                <a:ext uri="{FF2B5EF4-FFF2-40B4-BE49-F238E27FC236}">
                  <a16:creationId xmlns:a16="http://schemas.microsoft.com/office/drawing/2014/main" id="{00000000-0008-0000-0600-00002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13</xdr:row>
          <xdr:rowOff>0</xdr:rowOff>
        </xdr:from>
        <xdr:to>
          <xdr:col>10</xdr:col>
          <xdr:colOff>76200</xdr:colOff>
          <xdr:row>14</xdr:row>
          <xdr:rowOff>0</xdr:rowOff>
        </xdr:to>
        <xdr:sp macro="" textlink="">
          <xdr:nvSpPr>
            <xdr:cNvPr id="8233" name="Check Box 41" hidden="1">
              <a:extLst>
                <a:ext uri="{63B3BB69-23CF-44E3-9099-C40C66FF867C}">
                  <a14:compatExt spid="_x0000_s8233"/>
                </a:ext>
                <a:ext uri="{FF2B5EF4-FFF2-40B4-BE49-F238E27FC236}">
                  <a16:creationId xmlns:a16="http://schemas.microsoft.com/office/drawing/2014/main" id="{00000000-0008-0000-0600-00002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14</xdr:row>
          <xdr:rowOff>0</xdr:rowOff>
        </xdr:from>
        <xdr:to>
          <xdr:col>10</xdr:col>
          <xdr:colOff>76200</xdr:colOff>
          <xdr:row>15</xdr:row>
          <xdr:rowOff>0</xdr:rowOff>
        </xdr:to>
        <xdr:sp macro="" textlink="">
          <xdr:nvSpPr>
            <xdr:cNvPr id="8234" name="Check Box 42" hidden="1">
              <a:extLst>
                <a:ext uri="{63B3BB69-23CF-44E3-9099-C40C66FF867C}">
                  <a14:compatExt spid="_x0000_s8234"/>
                </a:ext>
                <a:ext uri="{FF2B5EF4-FFF2-40B4-BE49-F238E27FC236}">
                  <a16:creationId xmlns:a16="http://schemas.microsoft.com/office/drawing/2014/main" id="{00000000-0008-0000-0600-00002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15</xdr:row>
          <xdr:rowOff>0</xdr:rowOff>
        </xdr:from>
        <xdr:to>
          <xdr:col>10</xdr:col>
          <xdr:colOff>76200</xdr:colOff>
          <xdr:row>16</xdr:row>
          <xdr:rowOff>0</xdr:rowOff>
        </xdr:to>
        <xdr:sp macro="" textlink="">
          <xdr:nvSpPr>
            <xdr:cNvPr id="8235" name="Check Box 43" hidden="1">
              <a:extLst>
                <a:ext uri="{63B3BB69-23CF-44E3-9099-C40C66FF867C}">
                  <a14:compatExt spid="_x0000_s8235"/>
                </a:ext>
                <a:ext uri="{FF2B5EF4-FFF2-40B4-BE49-F238E27FC236}">
                  <a16:creationId xmlns:a16="http://schemas.microsoft.com/office/drawing/2014/main" id="{00000000-0008-0000-0600-00002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16</xdr:row>
          <xdr:rowOff>0</xdr:rowOff>
        </xdr:from>
        <xdr:to>
          <xdr:col>10</xdr:col>
          <xdr:colOff>76200</xdr:colOff>
          <xdr:row>17</xdr:row>
          <xdr:rowOff>0</xdr:rowOff>
        </xdr:to>
        <xdr:sp macro="" textlink="">
          <xdr:nvSpPr>
            <xdr:cNvPr id="8236" name="Check Box 44" hidden="1">
              <a:extLst>
                <a:ext uri="{63B3BB69-23CF-44E3-9099-C40C66FF867C}">
                  <a14:compatExt spid="_x0000_s8236"/>
                </a:ext>
                <a:ext uri="{FF2B5EF4-FFF2-40B4-BE49-F238E27FC236}">
                  <a16:creationId xmlns:a16="http://schemas.microsoft.com/office/drawing/2014/main" id="{00000000-0008-0000-0600-00002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17</xdr:row>
          <xdr:rowOff>0</xdr:rowOff>
        </xdr:from>
        <xdr:to>
          <xdr:col>10</xdr:col>
          <xdr:colOff>76200</xdr:colOff>
          <xdr:row>18</xdr:row>
          <xdr:rowOff>0</xdr:rowOff>
        </xdr:to>
        <xdr:sp macro="" textlink="">
          <xdr:nvSpPr>
            <xdr:cNvPr id="8237" name="Check Box 45" hidden="1">
              <a:extLst>
                <a:ext uri="{63B3BB69-23CF-44E3-9099-C40C66FF867C}">
                  <a14:compatExt spid="_x0000_s8237"/>
                </a:ext>
                <a:ext uri="{FF2B5EF4-FFF2-40B4-BE49-F238E27FC236}">
                  <a16:creationId xmlns:a16="http://schemas.microsoft.com/office/drawing/2014/main" id="{00000000-0008-0000-0600-00002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18</xdr:row>
          <xdr:rowOff>0</xdr:rowOff>
        </xdr:from>
        <xdr:to>
          <xdr:col>10</xdr:col>
          <xdr:colOff>76200</xdr:colOff>
          <xdr:row>19</xdr:row>
          <xdr:rowOff>0</xdr:rowOff>
        </xdr:to>
        <xdr:sp macro="" textlink="">
          <xdr:nvSpPr>
            <xdr:cNvPr id="8238" name="Check Box 46" hidden="1">
              <a:extLst>
                <a:ext uri="{63B3BB69-23CF-44E3-9099-C40C66FF867C}">
                  <a14:compatExt spid="_x0000_s8238"/>
                </a:ext>
                <a:ext uri="{FF2B5EF4-FFF2-40B4-BE49-F238E27FC236}">
                  <a16:creationId xmlns:a16="http://schemas.microsoft.com/office/drawing/2014/main" id="{00000000-0008-0000-0600-00002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19</xdr:row>
          <xdr:rowOff>0</xdr:rowOff>
        </xdr:from>
        <xdr:to>
          <xdr:col>10</xdr:col>
          <xdr:colOff>76200</xdr:colOff>
          <xdr:row>20</xdr:row>
          <xdr:rowOff>0</xdr:rowOff>
        </xdr:to>
        <xdr:sp macro="" textlink="">
          <xdr:nvSpPr>
            <xdr:cNvPr id="8239" name="Check Box 47" hidden="1">
              <a:extLst>
                <a:ext uri="{63B3BB69-23CF-44E3-9099-C40C66FF867C}">
                  <a14:compatExt spid="_x0000_s8239"/>
                </a:ext>
                <a:ext uri="{FF2B5EF4-FFF2-40B4-BE49-F238E27FC236}">
                  <a16:creationId xmlns:a16="http://schemas.microsoft.com/office/drawing/2014/main" id="{00000000-0008-0000-0600-00002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20</xdr:row>
          <xdr:rowOff>0</xdr:rowOff>
        </xdr:from>
        <xdr:to>
          <xdr:col>10</xdr:col>
          <xdr:colOff>76200</xdr:colOff>
          <xdr:row>21</xdr:row>
          <xdr:rowOff>0</xdr:rowOff>
        </xdr:to>
        <xdr:sp macro="" textlink="">
          <xdr:nvSpPr>
            <xdr:cNvPr id="8240" name="Check Box 48" hidden="1">
              <a:extLst>
                <a:ext uri="{63B3BB69-23CF-44E3-9099-C40C66FF867C}">
                  <a14:compatExt spid="_x0000_s8240"/>
                </a:ext>
                <a:ext uri="{FF2B5EF4-FFF2-40B4-BE49-F238E27FC236}">
                  <a16:creationId xmlns:a16="http://schemas.microsoft.com/office/drawing/2014/main" id="{00000000-0008-0000-0600-00003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21</xdr:row>
          <xdr:rowOff>0</xdr:rowOff>
        </xdr:from>
        <xdr:to>
          <xdr:col>10</xdr:col>
          <xdr:colOff>76200</xdr:colOff>
          <xdr:row>22</xdr:row>
          <xdr:rowOff>0</xdr:rowOff>
        </xdr:to>
        <xdr:sp macro="" textlink="">
          <xdr:nvSpPr>
            <xdr:cNvPr id="8241" name="Check Box 49" hidden="1">
              <a:extLst>
                <a:ext uri="{63B3BB69-23CF-44E3-9099-C40C66FF867C}">
                  <a14:compatExt spid="_x0000_s8241"/>
                </a:ext>
                <a:ext uri="{FF2B5EF4-FFF2-40B4-BE49-F238E27FC236}">
                  <a16:creationId xmlns:a16="http://schemas.microsoft.com/office/drawing/2014/main" id="{00000000-0008-0000-0600-00003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editAs="oneCell">
    <xdr:from>
      <xdr:col>21</xdr:col>
      <xdr:colOff>57149</xdr:colOff>
      <xdr:row>0</xdr:row>
      <xdr:rowOff>57150</xdr:rowOff>
    </xdr:from>
    <xdr:to>
      <xdr:col>30</xdr:col>
      <xdr:colOff>561974</xdr:colOff>
      <xdr:row>57</xdr:row>
      <xdr:rowOff>116327</xdr:rowOff>
    </xdr:to>
    <xdr:pic>
      <xdr:nvPicPr>
        <xdr:cNvPr id="65" name="Picture 64">
          <a:extLst>
            <a:ext uri="{FF2B5EF4-FFF2-40B4-BE49-F238E27FC236}">
              <a16:creationId xmlns:a16="http://schemas.microsoft.com/office/drawing/2014/main" id="{00000000-0008-0000-0600-000041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29324" y="57150"/>
          <a:ext cx="5781675" cy="8907902"/>
        </a:xfrm>
        <a:prstGeom prst="rect">
          <a:avLst/>
        </a:prstGeom>
      </xdr:spPr>
    </xdr:pic>
    <xdr:clientData/>
  </xdr:twoCellAnchor>
  <xdr:twoCellAnchor>
    <xdr:from>
      <xdr:col>21</xdr:col>
      <xdr:colOff>123825</xdr:colOff>
      <xdr:row>6</xdr:row>
      <xdr:rowOff>152400</xdr:rowOff>
    </xdr:from>
    <xdr:to>
      <xdr:col>24</xdr:col>
      <xdr:colOff>257175</xdr:colOff>
      <xdr:row>46</xdr:row>
      <xdr:rowOff>57150</xdr:rowOff>
    </xdr:to>
    <xdr:grpSp>
      <xdr:nvGrpSpPr>
        <xdr:cNvPr id="66" name="Group 65">
          <a:extLst>
            <a:ext uri="{FF2B5EF4-FFF2-40B4-BE49-F238E27FC236}">
              <a16:creationId xmlns:a16="http://schemas.microsoft.com/office/drawing/2014/main" id="{00000000-0008-0000-0600-000042000000}"/>
            </a:ext>
          </a:extLst>
        </xdr:cNvPr>
        <xdr:cNvGrpSpPr/>
      </xdr:nvGrpSpPr>
      <xdr:grpSpPr>
        <a:xfrm>
          <a:off x="6096000" y="1085850"/>
          <a:ext cx="1752600" cy="6038850"/>
          <a:chOff x="5772150" y="990600"/>
          <a:chExt cx="1752600" cy="6038850"/>
        </a:xfrm>
      </xdr:grpSpPr>
      <xdr:sp macro="" textlink="">
        <xdr:nvSpPr>
          <xdr:cNvPr id="67" name="TextBox 66">
            <a:extLst>
              <a:ext uri="{FF2B5EF4-FFF2-40B4-BE49-F238E27FC236}">
                <a16:creationId xmlns:a16="http://schemas.microsoft.com/office/drawing/2014/main" id="{00000000-0008-0000-0600-000043000000}"/>
              </a:ext>
            </a:extLst>
          </xdr:cNvPr>
          <xdr:cNvSpPr txBox="1"/>
        </xdr:nvSpPr>
        <xdr:spPr>
          <a:xfrm>
            <a:off x="5781675" y="5915025"/>
            <a:ext cx="174307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1"/>
              <a:t>Character </a:t>
            </a:r>
            <a:r>
              <a:rPr lang="en-US" sz="1000" b="1" i="1"/>
              <a:t>(Printer</a:t>
            </a:r>
            <a:r>
              <a:rPr lang="en-US" sz="1000" b="1" i="1" baseline="0"/>
              <a:t> Friendly)</a:t>
            </a:r>
            <a:r>
              <a:rPr lang="en-US" sz="1100" b="1" i="1"/>
              <a:t>:</a:t>
            </a:r>
          </a:p>
        </xdr:txBody>
      </xdr:sp>
      <xdr:sp macro="" textlink="">
        <xdr:nvSpPr>
          <xdr:cNvPr id="68" name="TextBox 67">
            <a:extLst>
              <a:ext uri="{FF2B5EF4-FFF2-40B4-BE49-F238E27FC236}">
                <a16:creationId xmlns:a16="http://schemas.microsoft.com/office/drawing/2014/main" id="{00000000-0008-0000-0600-000044000000}"/>
              </a:ext>
            </a:extLst>
          </xdr:cNvPr>
          <xdr:cNvSpPr txBox="1"/>
        </xdr:nvSpPr>
        <xdr:spPr>
          <a:xfrm>
            <a:off x="5781675" y="4629150"/>
            <a:ext cx="174307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1"/>
              <a:t>Character Building:</a:t>
            </a:r>
          </a:p>
        </xdr:txBody>
      </xdr:sp>
      <xdr:sp macro="" textlink="">
        <xdr:nvSpPr>
          <xdr:cNvPr id="69" name="TextBox 68">
            <a:extLst>
              <a:ext uri="{FF2B5EF4-FFF2-40B4-BE49-F238E27FC236}">
                <a16:creationId xmlns:a16="http://schemas.microsoft.com/office/drawing/2014/main" id="{00000000-0008-0000-0600-000045000000}"/>
              </a:ext>
            </a:extLst>
          </xdr:cNvPr>
          <xdr:cNvSpPr txBox="1"/>
        </xdr:nvSpPr>
        <xdr:spPr>
          <a:xfrm>
            <a:off x="5772150" y="2590800"/>
            <a:ext cx="174307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1"/>
              <a:t>Character</a:t>
            </a:r>
            <a:r>
              <a:rPr lang="en-US" sz="1100" b="1" i="1" baseline="0"/>
              <a:t> Information</a:t>
            </a:r>
            <a:r>
              <a:rPr lang="en-US" sz="1100" b="1" i="1"/>
              <a:t>:</a:t>
            </a:r>
          </a:p>
        </xdr:txBody>
      </xdr:sp>
      <xdr:sp macro="" textlink="">
        <xdr:nvSpPr>
          <xdr:cNvPr id="70" name="TextBox 69">
            <a:hlinkClick xmlns:r="http://schemas.openxmlformats.org/officeDocument/2006/relationships" r:id="rId2"/>
            <a:extLst>
              <a:ext uri="{FF2B5EF4-FFF2-40B4-BE49-F238E27FC236}">
                <a16:creationId xmlns:a16="http://schemas.microsoft.com/office/drawing/2014/main" id="{00000000-0008-0000-0600-000046000000}"/>
              </a:ext>
            </a:extLst>
          </xdr:cNvPr>
          <xdr:cNvSpPr txBox="1"/>
        </xdr:nvSpPr>
        <xdr:spPr>
          <a:xfrm>
            <a:off x="5772150" y="2867025"/>
            <a:ext cx="174307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u="sng">
                <a:solidFill>
                  <a:srgbClr val="0594FF"/>
                </a:solidFill>
              </a:rPr>
              <a:t>Character Sheet </a:t>
            </a:r>
            <a:r>
              <a:rPr lang="en-US" sz="1000" b="0" u="sng">
                <a:solidFill>
                  <a:srgbClr val="0594FF"/>
                </a:solidFill>
              </a:rPr>
              <a:t>(main)</a:t>
            </a:r>
          </a:p>
        </xdr:txBody>
      </xdr:sp>
      <xdr:sp macro="" textlink="">
        <xdr:nvSpPr>
          <xdr:cNvPr id="71" name="TextBox 70">
            <a:hlinkClick xmlns:r="http://schemas.openxmlformats.org/officeDocument/2006/relationships" r:id="rId3"/>
            <a:extLst>
              <a:ext uri="{FF2B5EF4-FFF2-40B4-BE49-F238E27FC236}">
                <a16:creationId xmlns:a16="http://schemas.microsoft.com/office/drawing/2014/main" id="{00000000-0008-0000-0600-000047000000}"/>
              </a:ext>
            </a:extLst>
          </xdr:cNvPr>
          <xdr:cNvSpPr txBox="1"/>
        </xdr:nvSpPr>
        <xdr:spPr>
          <a:xfrm>
            <a:off x="5772150" y="3143250"/>
            <a:ext cx="174307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u="sng">
                <a:solidFill>
                  <a:srgbClr val="0594FF"/>
                </a:solidFill>
              </a:rPr>
              <a:t>Magic &amp; Psionics</a:t>
            </a:r>
          </a:p>
        </xdr:txBody>
      </xdr:sp>
      <xdr:sp macro="" textlink="">
        <xdr:nvSpPr>
          <xdr:cNvPr id="72" name="TextBox 71">
            <a:hlinkClick xmlns:r="http://schemas.openxmlformats.org/officeDocument/2006/relationships" r:id="rId4"/>
            <a:extLst>
              <a:ext uri="{FF2B5EF4-FFF2-40B4-BE49-F238E27FC236}">
                <a16:creationId xmlns:a16="http://schemas.microsoft.com/office/drawing/2014/main" id="{00000000-0008-0000-0600-000048000000}"/>
              </a:ext>
            </a:extLst>
          </xdr:cNvPr>
          <xdr:cNvSpPr txBox="1"/>
        </xdr:nvSpPr>
        <xdr:spPr>
          <a:xfrm>
            <a:off x="5772150" y="3419475"/>
            <a:ext cx="174307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u="sng">
                <a:solidFill>
                  <a:srgbClr val="0594FF"/>
                </a:solidFill>
              </a:rPr>
              <a:t>Combat Sheet</a:t>
            </a:r>
          </a:p>
        </xdr:txBody>
      </xdr:sp>
      <xdr:sp macro="" textlink="">
        <xdr:nvSpPr>
          <xdr:cNvPr id="73" name="TextBox 72">
            <a:hlinkClick xmlns:r="http://schemas.openxmlformats.org/officeDocument/2006/relationships" r:id="rId5"/>
            <a:extLst>
              <a:ext uri="{FF2B5EF4-FFF2-40B4-BE49-F238E27FC236}">
                <a16:creationId xmlns:a16="http://schemas.microsoft.com/office/drawing/2014/main" id="{00000000-0008-0000-0600-000049000000}"/>
              </a:ext>
            </a:extLst>
          </xdr:cNvPr>
          <xdr:cNvSpPr txBox="1"/>
        </xdr:nvSpPr>
        <xdr:spPr>
          <a:xfrm>
            <a:off x="5781675" y="4905375"/>
            <a:ext cx="174307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u="sng">
                <a:solidFill>
                  <a:srgbClr val="0594FF"/>
                </a:solidFill>
              </a:rPr>
              <a:t>Worktable </a:t>
            </a:r>
            <a:r>
              <a:rPr lang="en-US" sz="1000" b="0" u="sng">
                <a:solidFill>
                  <a:srgbClr val="0594FF"/>
                </a:solidFill>
              </a:rPr>
              <a:t>(Scratch Paper)</a:t>
            </a:r>
          </a:p>
        </xdr:txBody>
      </xdr:sp>
      <xdr:sp macro="" textlink="">
        <xdr:nvSpPr>
          <xdr:cNvPr id="74" name="TextBox 73">
            <a:hlinkClick xmlns:r="http://schemas.openxmlformats.org/officeDocument/2006/relationships" r:id="rId6"/>
            <a:extLst>
              <a:ext uri="{FF2B5EF4-FFF2-40B4-BE49-F238E27FC236}">
                <a16:creationId xmlns:a16="http://schemas.microsoft.com/office/drawing/2014/main" id="{00000000-0008-0000-0600-00004A000000}"/>
              </a:ext>
            </a:extLst>
          </xdr:cNvPr>
          <xdr:cNvSpPr txBox="1"/>
        </xdr:nvSpPr>
        <xdr:spPr>
          <a:xfrm>
            <a:off x="5781675" y="5181600"/>
            <a:ext cx="174307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u="sng">
                <a:solidFill>
                  <a:srgbClr val="0594FF"/>
                </a:solidFill>
              </a:rPr>
              <a:t>Skills Selection</a:t>
            </a:r>
          </a:p>
        </xdr:txBody>
      </xdr:sp>
      <xdr:sp macro="" textlink="">
        <xdr:nvSpPr>
          <xdr:cNvPr id="75" name="TextBox 74">
            <a:hlinkClick xmlns:r="http://schemas.openxmlformats.org/officeDocument/2006/relationships" r:id="rId7"/>
            <a:extLst>
              <a:ext uri="{FF2B5EF4-FFF2-40B4-BE49-F238E27FC236}">
                <a16:creationId xmlns:a16="http://schemas.microsoft.com/office/drawing/2014/main" id="{00000000-0008-0000-0600-00004B000000}"/>
              </a:ext>
            </a:extLst>
          </xdr:cNvPr>
          <xdr:cNvSpPr txBox="1"/>
        </xdr:nvSpPr>
        <xdr:spPr>
          <a:xfrm>
            <a:off x="5781675" y="5457825"/>
            <a:ext cx="174307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u="sng">
                <a:solidFill>
                  <a:srgbClr val="0594FF"/>
                </a:solidFill>
              </a:rPr>
              <a:t>Customize</a:t>
            </a:r>
          </a:p>
        </xdr:txBody>
      </xdr:sp>
      <xdr:sp macro="" textlink="">
        <xdr:nvSpPr>
          <xdr:cNvPr id="76" name="TextBox 75">
            <a:hlinkClick xmlns:r="http://schemas.openxmlformats.org/officeDocument/2006/relationships" r:id="rId8"/>
            <a:extLst>
              <a:ext uri="{FF2B5EF4-FFF2-40B4-BE49-F238E27FC236}">
                <a16:creationId xmlns:a16="http://schemas.microsoft.com/office/drawing/2014/main" id="{00000000-0008-0000-0600-00004C000000}"/>
              </a:ext>
            </a:extLst>
          </xdr:cNvPr>
          <xdr:cNvSpPr txBox="1"/>
        </xdr:nvSpPr>
        <xdr:spPr>
          <a:xfrm>
            <a:off x="5781675" y="6200775"/>
            <a:ext cx="174307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u="sng">
                <a:solidFill>
                  <a:srgbClr val="0594FF"/>
                </a:solidFill>
              </a:rPr>
              <a:t>Character Sheet </a:t>
            </a:r>
            <a:r>
              <a:rPr lang="en-US" sz="1000" b="0" u="sng">
                <a:solidFill>
                  <a:srgbClr val="0594FF"/>
                </a:solidFill>
              </a:rPr>
              <a:t>(main)</a:t>
            </a:r>
          </a:p>
        </xdr:txBody>
      </xdr:sp>
      <xdr:sp macro="" textlink="">
        <xdr:nvSpPr>
          <xdr:cNvPr id="77" name="TextBox 76">
            <a:hlinkClick xmlns:r="http://schemas.openxmlformats.org/officeDocument/2006/relationships" r:id="rId9"/>
            <a:extLst>
              <a:ext uri="{FF2B5EF4-FFF2-40B4-BE49-F238E27FC236}">
                <a16:creationId xmlns:a16="http://schemas.microsoft.com/office/drawing/2014/main" id="{00000000-0008-0000-0600-00004D000000}"/>
              </a:ext>
            </a:extLst>
          </xdr:cNvPr>
          <xdr:cNvSpPr txBox="1"/>
        </xdr:nvSpPr>
        <xdr:spPr>
          <a:xfrm>
            <a:off x="5781675" y="6486525"/>
            <a:ext cx="174307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u="sng">
                <a:solidFill>
                  <a:srgbClr val="0594FF"/>
                </a:solidFill>
              </a:rPr>
              <a:t>Magic &amp; Psionics</a:t>
            </a:r>
          </a:p>
        </xdr:txBody>
      </xdr:sp>
      <xdr:sp macro="" textlink="">
        <xdr:nvSpPr>
          <xdr:cNvPr id="78" name="TextBox 77">
            <a:hlinkClick xmlns:r="http://schemas.openxmlformats.org/officeDocument/2006/relationships" r:id="rId10"/>
            <a:extLst>
              <a:ext uri="{FF2B5EF4-FFF2-40B4-BE49-F238E27FC236}">
                <a16:creationId xmlns:a16="http://schemas.microsoft.com/office/drawing/2014/main" id="{00000000-0008-0000-0600-00004E000000}"/>
              </a:ext>
            </a:extLst>
          </xdr:cNvPr>
          <xdr:cNvSpPr txBox="1"/>
        </xdr:nvSpPr>
        <xdr:spPr>
          <a:xfrm>
            <a:off x="5781675" y="6772275"/>
            <a:ext cx="174307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u="sng">
                <a:solidFill>
                  <a:srgbClr val="0594FF"/>
                </a:solidFill>
              </a:rPr>
              <a:t>Combat Sheet</a:t>
            </a:r>
          </a:p>
        </xdr:txBody>
      </xdr:sp>
      <xdr:sp macro="" textlink="">
        <xdr:nvSpPr>
          <xdr:cNvPr id="79" name="TextBox 78">
            <a:extLst>
              <a:ext uri="{FF2B5EF4-FFF2-40B4-BE49-F238E27FC236}">
                <a16:creationId xmlns:a16="http://schemas.microsoft.com/office/drawing/2014/main" id="{00000000-0008-0000-0600-00004F000000}"/>
              </a:ext>
            </a:extLst>
          </xdr:cNvPr>
          <xdr:cNvSpPr txBox="1"/>
        </xdr:nvSpPr>
        <xdr:spPr>
          <a:xfrm>
            <a:off x="5781675" y="990600"/>
            <a:ext cx="174307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1"/>
              <a:t>Introduction:</a:t>
            </a:r>
          </a:p>
        </xdr:txBody>
      </xdr:sp>
      <xdr:sp macro="" textlink="">
        <xdr:nvSpPr>
          <xdr:cNvPr id="80" name="TextBox 79">
            <a:hlinkClick xmlns:r="http://schemas.openxmlformats.org/officeDocument/2006/relationships" r:id="rId11"/>
            <a:extLst>
              <a:ext uri="{FF2B5EF4-FFF2-40B4-BE49-F238E27FC236}">
                <a16:creationId xmlns:a16="http://schemas.microsoft.com/office/drawing/2014/main" id="{00000000-0008-0000-0600-000050000000}"/>
              </a:ext>
            </a:extLst>
          </xdr:cNvPr>
          <xdr:cNvSpPr txBox="1"/>
        </xdr:nvSpPr>
        <xdr:spPr>
          <a:xfrm>
            <a:off x="5781675" y="1266825"/>
            <a:ext cx="174307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u="sng">
                <a:solidFill>
                  <a:srgbClr val="0594FF"/>
                </a:solidFill>
              </a:rPr>
              <a:t>Cover Page</a:t>
            </a:r>
          </a:p>
        </xdr:txBody>
      </xdr:sp>
      <xdr:sp macro="" textlink="">
        <xdr:nvSpPr>
          <xdr:cNvPr id="81" name="TextBox 80">
            <a:hlinkClick xmlns:r="http://schemas.openxmlformats.org/officeDocument/2006/relationships" r:id="rId12"/>
            <a:extLst>
              <a:ext uri="{FF2B5EF4-FFF2-40B4-BE49-F238E27FC236}">
                <a16:creationId xmlns:a16="http://schemas.microsoft.com/office/drawing/2014/main" id="{00000000-0008-0000-0600-000051000000}"/>
              </a:ext>
            </a:extLst>
          </xdr:cNvPr>
          <xdr:cNvSpPr txBox="1"/>
        </xdr:nvSpPr>
        <xdr:spPr>
          <a:xfrm>
            <a:off x="5781675" y="1543050"/>
            <a:ext cx="174307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u="sng">
                <a:solidFill>
                  <a:srgbClr val="0594FF"/>
                </a:solidFill>
              </a:rPr>
              <a:t>Instructions</a:t>
            </a:r>
          </a:p>
        </xdr:txBody>
      </xdr:sp>
      <xdr:sp macro="" textlink="">
        <xdr:nvSpPr>
          <xdr:cNvPr id="82" name="TextBox 81">
            <a:hlinkClick xmlns:r="http://schemas.openxmlformats.org/officeDocument/2006/relationships" r:id="rId13"/>
            <a:extLst>
              <a:ext uri="{FF2B5EF4-FFF2-40B4-BE49-F238E27FC236}">
                <a16:creationId xmlns:a16="http://schemas.microsoft.com/office/drawing/2014/main" id="{00000000-0008-0000-0600-000052000000}"/>
              </a:ext>
            </a:extLst>
          </xdr:cNvPr>
          <xdr:cNvSpPr txBox="1"/>
        </xdr:nvSpPr>
        <xdr:spPr>
          <a:xfrm>
            <a:off x="5781675" y="1819275"/>
            <a:ext cx="174307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u="sng">
                <a:solidFill>
                  <a:srgbClr val="0594FF"/>
                </a:solidFill>
              </a:rPr>
              <a:t>Legal Information</a:t>
            </a:r>
          </a:p>
        </xdr:txBody>
      </xdr:sp>
      <xdr:sp macro="" textlink="">
        <xdr:nvSpPr>
          <xdr:cNvPr id="83" name="TextBox 82">
            <a:hlinkClick xmlns:r="http://schemas.openxmlformats.org/officeDocument/2006/relationships" r:id="rId14"/>
            <a:extLst>
              <a:ext uri="{FF2B5EF4-FFF2-40B4-BE49-F238E27FC236}">
                <a16:creationId xmlns:a16="http://schemas.microsoft.com/office/drawing/2014/main" id="{00000000-0008-0000-0600-000053000000}"/>
              </a:ext>
            </a:extLst>
          </xdr:cNvPr>
          <xdr:cNvSpPr txBox="1"/>
        </xdr:nvSpPr>
        <xdr:spPr>
          <a:xfrm>
            <a:off x="5781675" y="2095500"/>
            <a:ext cx="174307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u="sng">
                <a:solidFill>
                  <a:srgbClr val="0594FF"/>
                </a:solidFill>
              </a:rPr>
              <a:t>Editor's Notes</a:t>
            </a:r>
          </a:p>
        </xdr:txBody>
      </xdr:sp>
    </xdr:grpSp>
    <xdr:clientData/>
  </xdr:twoCellAnchor>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65</xdr:row>
          <xdr:rowOff>190500</xdr:rowOff>
        </xdr:from>
        <xdr:to>
          <xdr:col>8</xdr:col>
          <xdr:colOff>0</xdr:colOff>
          <xdr:row>66</xdr:row>
          <xdr:rowOff>190500</xdr:rowOff>
        </xdr:to>
        <xdr:sp macro="" textlink="">
          <xdr:nvSpPr>
            <xdr:cNvPr id="16386" name="Group Box 2" hidden="1">
              <a:extLst>
                <a:ext uri="{63B3BB69-23CF-44E3-9099-C40C66FF867C}">
                  <a14:compatExt spid="_x0000_s16386"/>
                </a:ext>
                <a:ext uri="{FF2B5EF4-FFF2-40B4-BE49-F238E27FC236}">
                  <a16:creationId xmlns:a16="http://schemas.microsoft.com/office/drawing/2014/main" id="{00000000-0008-0000-0700-0000024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66</xdr:row>
          <xdr:rowOff>9525</xdr:rowOff>
        </xdr:from>
        <xdr:to>
          <xdr:col>2</xdr:col>
          <xdr:colOff>495300</xdr:colOff>
          <xdr:row>66</xdr:row>
          <xdr:rowOff>190500</xdr:rowOff>
        </xdr:to>
        <xdr:sp macro="" textlink="">
          <xdr:nvSpPr>
            <xdr:cNvPr id="16387" name="Option Button 3" hidden="1">
              <a:extLst>
                <a:ext uri="{63B3BB69-23CF-44E3-9099-C40C66FF867C}">
                  <a14:compatExt spid="_x0000_s16387"/>
                </a:ext>
                <a:ext uri="{FF2B5EF4-FFF2-40B4-BE49-F238E27FC236}">
                  <a16:creationId xmlns:a16="http://schemas.microsoft.com/office/drawing/2014/main" id="{00000000-0008-0000-0700-00000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180975</xdr:colOff>
          <xdr:row>66</xdr:row>
          <xdr:rowOff>9525</xdr:rowOff>
        </xdr:from>
        <xdr:to>
          <xdr:col>3</xdr:col>
          <xdr:colOff>495300</xdr:colOff>
          <xdr:row>66</xdr:row>
          <xdr:rowOff>190500</xdr:rowOff>
        </xdr:to>
        <xdr:sp macro="" textlink="">
          <xdr:nvSpPr>
            <xdr:cNvPr id="16388" name="Option Button 4" hidden="1">
              <a:extLst>
                <a:ext uri="{63B3BB69-23CF-44E3-9099-C40C66FF867C}">
                  <a14:compatExt spid="_x0000_s16388"/>
                </a:ext>
                <a:ext uri="{FF2B5EF4-FFF2-40B4-BE49-F238E27FC236}">
                  <a16:creationId xmlns:a16="http://schemas.microsoft.com/office/drawing/2014/main" id="{00000000-0008-0000-0700-00000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66</xdr:row>
          <xdr:rowOff>9525</xdr:rowOff>
        </xdr:from>
        <xdr:to>
          <xdr:col>4</xdr:col>
          <xdr:colOff>495300</xdr:colOff>
          <xdr:row>66</xdr:row>
          <xdr:rowOff>190500</xdr:rowOff>
        </xdr:to>
        <xdr:sp macro="" textlink="">
          <xdr:nvSpPr>
            <xdr:cNvPr id="16389" name="Option Button 5" hidden="1">
              <a:extLst>
                <a:ext uri="{63B3BB69-23CF-44E3-9099-C40C66FF867C}">
                  <a14:compatExt spid="_x0000_s16389"/>
                </a:ext>
                <a:ext uri="{FF2B5EF4-FFF2-40B4-BE49-F238E27FC236}">
                  <a16:creationId xmlns:a16="http://schemas.microsoft.com/office/drawing/2014/main" id="{00000000-0008-0000-0700-000005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180975</xdr:colOff>
          <xdr:row>66</xdr:row>
          <xdr:rowOff>9525</xdr:rowOff>
        </xdr:from>
        <xdr:to>
          <xdr:col>5</xdr:col>
          <xdr:colOff>495300</xdr:colOff>
          <xdr:row>66</xdr:row>
          <xdr:rowOff>190500</xdr:rowOff>
        </xdr:to>
        <xdr:sp macro="" textlink="">
          <xdr:nvSpPr>
            <xdr:cNvPr id="16390" name="Option Button 6" hidden="1">
              <a:extLst>
                <a:ext uri="{63B3BB69-23CF-44E3-9099-C40C66FF867C}">
                  <a14:compatExt spid="_x0000_s16390"/>
                </a:ext>
                <a:ext uri="{FF2B5EF4-FFF2-40B4-BE49-F238E27FC236}">
                  <a16:creationId xmlns:a16="http://schemas.microsoft.com/office/drawing/2014/main" id="{00000000-0008-0000-0700-000006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66</xdr:row>
          <xdr:rowOff>9525</xdr:rowOff>
        </xdr:from>
        <xdr:to>
          <xdr:col>6</xdr:col>
          <xdr:colOff>495300</xdr:colOff>
          <xdr:row>66</xdr:row>
          <xdr:rowOff>190500</xdr:rowOff>
        </xdr:to>
        <xdr:sp macro="" textlink="">
          <xdr:nvSpPr>
            <xdr:cNvPr id="16391" name="Option Button 7" hidden="1">
              <a:extLst>
                <a:ext uri="{63B3BB69-23CF-44E3-9099-C40C66FF867C}">
                  <a14:compatExt spid="_x0000_s16391"/>
                </a:ext>
                <a:ext uri="{FF2B5EF4-FFF2-40B4-BE49-F238E27FC236}">
                  <a16:creationId xmlns:a16="http://schemas.microsoft.com/office/drawing/2014/main" id="{00000000-0008-0000-0700-000007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66</xdr:row>
          <xdr:rowOff>9525</xdr:rowOff>
        </xdr:from>
        <xdr:to>
          <xdr:col>7</xdr:col>
          <xdr:colOff>495300</xdr:colOff>
          <xdr:row>66</xdr:row>
          <xdr:rowOff>190500</xdr:rowOff>
        </xdr:to>
        <xdr:sp macro="" textlink="">
          <xdr:nvSpPr>
            <xdr:cNvPr id="16392" name="Option Button 8" hidden="1">
              <a:extLst>
                <a:ext uri="{63B3BB69-23CF-44E3-9099-C40C66FF867C}">
                  <a14:compatExt spid="_x0000_s16392"/>
                </a:ext>
                <a:ext uri="{FF2B5EF4-FFF2-40B4-BE49-F238E27FC236}">
                  <a16:creationId xmlns:a16="http://schemas.microsoft.com/office/drawing/2014/main" id="{00000000-0008-0000-0700-000008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66</xdr:row>
          <xdr:rowOff>190500</xdr:rowOff>
        </xdr:from>
        <xdr:to>
          <xdr:col>8</xdr:col>
          <xdr:colOff>0</xdr:colOff>
          <xdr:row>67</xdr:row>
          <xdr:rowOff>190500</xdr:rowOff>
        </xdr:to>
        <xdr:sp macro="" textlink="">
          <xdr:nvSpPr>
            <xdr:cNvPr id="16393" name="Group Box 9" hidden="1">
              <a:extLst>
                <a:ext uri="{63B3BB69-23CF-44E3-9099-C40C66FF867C}">
                  <a14:compatExt spid="_x0000_s16393"/>
                </a:ext>
                <a:ext uri="{FF2B5EF4-FFF2-40B4-BE49-F238E27FC236}">
                  <a16:creationId xmlns:a16="http://schemas.microsoft.com/office/drawing/2014/main" id="{00000000-0008-0000-0700-0000094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67</xdr:row>
          <xdr:rowOff>9525</xdr:rowOff>
        </xdr:from>
        <xdr:to>
          <xdr:col>2</xdr:col>
          <xdr:colOff>495300</xdr:colOff>
          <xdr:row>67</xdr:row>
          <xdr:rowOff>190500</xdr:rowOff>
        </xdr:to>
        <xdr:sp macro="" textlink="">
          <xdr:nvSpPr>
            <xdr:cNvPr id="16394" name="Option Button 10" hidden="1">
              <a:extLst>
                <a:ext uri="{63B3BB69-23CF-44E3-9099-C40C66FF867C}">
                  <a14:compatExt spid="_x0000_s16394"/>
                </a:ext>
                <a:ext uri="{FF2B5EF4-FFF2-40B4-BE49-F238E27FC236}">
                  <a16:creationId xmlns:a16="http://schemas.microsoft.com/office/drawing/2014/main" id="{00000000-0008-0000-0700-00000A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180975</xdr:colOff>
          <xdr:row>67</xdr:row>
          <xdr:rowOff>9525</xdr:rowOff>
        </xdr:from>
        <xdr:to>
          <xdr:col>3</xdr:col>
          <xdr:colOff>495300</xdr:colOff>
          <xdr:row>67</xdr:row>
          <xdr:rowOff>190500</xdr:rowOff>
        </xdr:to>
        <xdr:sp macro="" textlink="">
          <xdr:nvSpPr>
            <xdr:cNvPr id="16395" name="Option Button 11" hidden="1">
              <a:extLst>
                <a:ext uri="{63B3BB69-23CF-44E3-9099-C40C66FF867C}">
                  <a14:compatExt spid="_x0000_s16395"/>
                </a:ext>
                <a:ext uri="{FF2B5EF4-FFF2-40B4-BE49-F238E27FC236}">
                  <a16:creationId xmlns:a16="http://schemas.microsoft.com/office/drawing/2014/main" id="{00000000-0008-0000-0700-00000B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67</xdr:row>
          <xdr:rowOff>9525</xdr:rowOff>
        </xdr:from>
        <xdr:to>
          <xdr:col>4</xdr:col>
          <xdr:colOff>495300</xdr:colOff>
          <xdr:row>67</xdr:row>
          <xdr:rowOff>190500</xdr:rowOff>
        </xdr:to>
        <xdr:sp macro="" textlink="">
          <xdr:nvSpPr>
            <xdr:cNvPr id="16396" name="Option Button 12" hidden="1">
              <a:extLst>
                <a:ext uri="{63B3BB69-23CF-44E3-9099-C40C66FF867C}">
                  <a14:compatExt spid="_x0000_s16396"/>
                </a:ext>
                <a:ext uri="{FF2B5EF4-FFF2-40B4-BE49-F238E27FC236}">
                  <a16:creationId xmlns:a16="http://schemas.microsoft.com/office/drawing/2014/main" id="{00000000-0008-0000-0700-00000C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180975</xdr:colOff>
          <xdr:row>67</xdr:row>
          <xdr:rowOff>9525</xdr:rowOff>
        </xdr:from>
        <xdr:to>
          <xdr:col>5</xdr:col>
          <xdr:colOff>495300</xdr:colOff>
          <xdr:row>67</xdr:row>
          <xdr:rowOff>190500</xdr:rowOff>
        </xdr:to>
        <xdr:sp macro="" textlink="">
          <xdr:nvSpPr>
            <xdr:cNvPr id="16397" name="Option Button 13" hidden="1">
              <a:extLst>
                <a:ext uri="{63B3BB69-23CF-44E3-9099-C40C66FF867C}">
                  <a14:compatExt spid="_x0000_s16397"/>
                </a:ext>
                <a:ext uri="{FF2B5EF4-FFF2-40B4-BE49-F238E27FC236}">
                  <a16:creationId xmlns:a16="http://schemas.microsoft.com/office/drawing/2014/main" id="{00000000-0008-0000-0700-00000D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67</xdr:row>
          <xdr:rowOff>9525</xdr:rowOff>
        </xdr:from>
        <xdr:to>
          <xdr:col>6</xdr:col>
          <xdr:colOff>495300</xdr:colOff>
          <xdr:row>67</xdr:row>
          <xdr:rowOff>190500</xdr:rowOff>
        </xdr:to>
        <xdr:sp macro="" textlink="">
          <xdr:nvSpPr>
            <xdr:cNvPr id="16398" name="Option Button 14" hidden="1">
              <a:extLst>
                <a:ext uri="{63B3BB69-23CF-44E3-9099-C40C66FF867C}">
                  <a14:compatExt spid="_x0000_s16398"/>
                </a:ext>
                <a:ext uri="{FF2B5EF4-FFF2-40B4-BE49-F238E27FC236}">
                  <a16:creationId xmlns:a16="http://schemas.microsoft.com/office/drawing/2014/main" id="{00000000-0008-0000-0700-00000E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67</xdr:row>
          <xdr:rowOff>9525</xdr:rowOff>
        </xdr:from>
        <xdr:to>
          <xdr:col>7</xdr:col>
          <xdr:colOff>495300</xdr:colOff>
          <xdr:row>67</xdr:row>
          <xdr:rowOff>190500</xdr:rowOff>
        </xdr:to>
        <xdr:sp macro="" textlink="">
          <xdr:nvSpPr>
            <xdr:cNvPr id="16399" name="Option Button 15" hidden="1">
              <a:extLst>
                <a:ext uri="{63B3BB69-23CF-44E3-9099-C40C66FF867C}">
                  <a14:compatExt spid="_x0000_s16399"/>
                </a:ext>
                <a:ext uri="{FF2B5EF4-FFF2-40B4-BE49-F238E27FC236}">
                  <a16:creationId xmlns:a16="http://schemas.microsoft.com/office/drawing/2014/main" id="{00000000-0008-0000-0700-00000F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65</xdr:row>
          <xdr:rowOff>190500</xdr:rowOff>
        </xdr:from>
        <xdr:to>
          <xdr:col>17</xdr:col>
          <xdr:colOff>0</xdr:colOff>
          <xdr:row>66</xdr:row>
          <xdr:rowOff>190500</xdr:rowOff>
        </xdr:to>
        <xdr:sp macro="" textlink="">
          <xdr:nvSpPr>
            <xdr:cNvPr id="16400" name="Group Box 16" hidden="1">
              <a:extLst>
                <a:ext uri="{63B3BB69-23CF-44E3-9099-C40C66FF867C}">
                  <a14:compatExt spid="_x0000_s16400"/>
                </a:ext>
                <a:ext uri="{FF2B5EF4-FFF2-40B4-BE49-F238E27FC236}">
                  <a16:creationId xmlns:a16="http://schemas.microsoft.com/office/drawing/2014/main" id="{00000000-0008-0000-0700-0000104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66</xdr:row>
          <xdr:rowOff>9525</xdr:rowOff>
        </xdr:from>
        <xdr:to>
          <xdr:col>11</xdr:col>
          <xdr:colOff>495300</xdr:colOff>
          <xdr:row>66</xdr:row>
          <xdr:rowOff>190500</xdr:rowOff>
        </xdr:to>
        <xdr:sp macro="" textlink="">
          <xdr:nvSpPr>
            <xdr:cNvPr id="16401" name="Option Button 17" hidden="1">
              <a:extLst>
                <a:ext uri="{63B3BB69-23CF-44E3-9099-C40C66FF867C}">
                  <a14:compatExt spid="_x0000_s16401"/>
                </a:ext>
                <a:ext uri="{FF2B5EF4-FFF2-40B4-BE49-F238E27FC236}">
                  <a16:creationId xmlns:a16="http://schemas.microsoft.com/office/drawing/2014/main" id="{00000000-0008-0000-0700-00001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66</xdr:row>
          <xdr:rowOff>9525</xdr:rowOff>
        </xdr:from>
        <xdr:to>
          <xdr:col>12</xdr:col>
          <xdr:colOff>495300</xdr:colOff>
          <xdr:row>66</xdr:row>
          <xdr:rowOff>190500</xdr:rowOff>
        </xdr:to>
        <xdr:sp macro="" textlink="">
          <xdr:nvSpPr>
            <xdr:cNvPr id="16402" name="Option Button 18" hidden="1">
              <a:extLst>
                <a:ext uri="{63B3BB69-23CF-44E3-9099-C40C66FF867C}">
                  <a14:compatExt spid="_x0000_s16402"/>
                </a:ext>
                <a:ext uri="{FF2B5EF4-FFF2-40B4-BE49-F238E27FC236}">
                  <a16:creationId xmlns:a16="http://schemas.microsoft.com/office/drawing/2014/main" id="{00000000-0008-0000-0700-00001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180975</xdr:colOff>
          <xdr:row>66</xdr:row>
          <xdr:rowOff>9525</xdr:rowOff>
        </xdr:from>
        <xdr:to>
          <xdr:col>13</xdr:col>
          <xdr:colOff>495300</xdr:colOff>
          <xdr:row>66</xdr:row>
          <xdr:rowOff>190500</xdr:rowOff>
        </xdr:to>
        <xdr:sp macro="" textlink="">
          <xdr:nvSpPr>
            <xdr:cNvPr id="16403" name="Option Button 19" hidden="1">
              <a:extLst>
                <a:ext uri="{63B3BB69-23CF-44E3-9099-C40C66FF867C}">
                  <a14:compatExt spid="_x0000_s16403"/>
                </a:ext>
                <a:ext uri="{FF2B5EF4-FFF2-40B4-BE49-F238E27FC236}">
                  <a16:creationId xmlns:a16="http://schemas.microsoft.com/office/drawing/2014/main" id="{00000000-0008-0000-0700-00001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180975</xdr:colOff>
          <xdr:row>66</xdr:row>
          <xdr:rowOff>9525</xdr:rowOff>
        </xdr:from>
        <xdr:to>
          <xdr:col>14</xdr:col>
          <xdr:colOff>495300</xdr:colOff>
          <xdr:row>66</xdr:row>
          <xdr:rowOff>190500</xdr:rowOff>
        </xdr:to>
        <xdr:sp macro="" textlink="">
          <xdr:nvSpPr>
            <xdr:cNvPr id="16404" name="Option Button 20" hidden="1">
              <a:extLst>
                <a:ext uri="{63B3BB69-23CF-44E3-9099-C40C66FF867C}">
                  <a14:compatExt spid="_x0000_s16404"/>
                </a:ext>
                <a:ext uri="{FF2B5EF4-FFF2-40B4-BE49-F238E27FC236}">
                  <a16:creationId xmlns:a16="http://schemas.microsoft.com/office/drawing/2014/main" id="{00000000-0008-0000-0700-00001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180975</xdr:colOff>
          <xdr:row>66</xdr:row>
          <xdr:rowOff>9525</xdr:rowOff>
        </xdr:from>
        <xdr:to>
          <xdr:col>15</xdr:col>
          <xdr:colOff>495300</xdr:colOff>
          <xdr:row>66</xdr:row>
          <xdr:rowOff>190500</xdr:rowOff>
        </xdr:to>
        <xdr:sp macro="" textlink="">
          <xdr:nvSpPr>
            <xdr:cNvPr id="16405" name="Option Button 21" hidden="1">
              <a:extLst>
                <a:ext uri="{63B3BB69-23CF-44E3-9099-C40C66FF867C}">
                  <a14:compatExt spid="_x0000_s16405"/>
                </a:ext>
                <a:ext uri="{FF2B5EF4-FFF2-40B4-BE49-F238E27FC236}">
                  <a16:creationId xmlns:a16="http://schemas.microsoft.com/office/drawing/2014/main" id="{00000000-0008-0000-0700-000015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180975</xdr:colOff>
          <xdr:row>66</xdr:row>
          <xdr:rowOff>9525</xdr:rowOff>
        </xdr:from>
        <xdr:to>
          <xdr:col>16</xdr:col>
          <xdr:colOff>495300</xdr:colOff>
          <xdr:row>66</xdr:row>
          <xdr:rowOff>190500</xdr:rowOff>
        </xdr:to>
        <xdr:sp macro="" textlink="">
          <xdr:nvSpPr>
            <xdr:cNvPr id="16406" name="Option Button 22" hidden="1">
              <a:extLst>
                <a:ext uri="{63B3BB69-23CF-44E3-9099-C40C66FF867C}">
                  <a14:compatExt spid="_x0000_s16406"/>
                </a:ext>
                <a:ext uri="{FF2B5EF4-FFF2-40B4-BE49-F238E27FC236}">
                  <a16:creationId xmlns:a16="http://schemas.microsoft.com/office/drawing/2014/main" id="{00000000-0008-0000-0700-000016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66</xdr:row>
          <xdr:rowOff>190500</xdr:rowOff>
        </xdr:from>
        <xdr:to>
          <xdr:col>17</xdr:col>
          <xdr:colOff>0</xdr:colOff>
          <xdr:row>67</xdr:row>
          <xdr:rowOff>190500</xdr:rowOff>
        </xdr:to>
        <xdr:sp macro="" textlink="">
          <xdr:nvSpPr>
            <xdr:cNvPr id="16407" name="Group Box 23" hidden="1">
              <a:extLst>
                <a:ext uri="{63B3BB69-23CF-44E3-9099-C40C66FF867C}">
                  <a14:compatExt spid="_x0000_s16407"/>
                </a:ext>
                <a:ext uri="{FF2B5EF4-FFF2-40B4-BE49-F238E27FC236}">
                  <a16:creationId xmlns:a16="http://schemas.microsoft.com/office/drawing/2014/main" id="{00000000-0008-0000-0700-0000174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67</xdr:row>
          <xdr:rowOff>9525</xdr:rowOff>
        </xdr:from>
        <xdr:to>
          <xdr:col>11</xdr:col>
          <xdr:colOff>495300</xdr:colOff>
          <xdr:row>67</xdr:row>
          <xdr:rowOff>190500</xdr:rowOff>
        </xdr:to>
        <xdr:sp macro="" textlink="">
          <xdr:nvSpPr>
            <xdr:cNvPr id="16408" name="Option Button 24" hidden="1">
              <a:extLst>
                <a:ext uri="{63B3BB69-23CF-44E3-9099-C40C66FF867C}">
                  <a14:compatExt spid="_x0000_s16408"/>
                </a:ext>
                <a:ext uri="{FF2B5EF4-FFF2-40B4-BE49-F238E27FC236}">
                  <a16:creationId xmlns:a16="http://schemas.microsoft.com/office/drawing/2014/main" id="{00000000-0008-0000-0700-000018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67</xdr:row>
          <xdr:rowOff>9525</xdr:rowOff>
        </xdr:from>
        <xdr:to>
          <xdr:col>12</xdr:col>
          <xdr:colOff>495300</xdr:colOff>
          <xdr:row>67</xdr:row>
          <xdr:rowOff>190500</xdr:rowOff>
        </xdr:to>
        <xdr:sp macro="" textlink="">
          <xdr:nvSpPr>
            <xdr:cNvPr id="16409" name="Option Button 25" hidden="1">
              <a:extLst>
                <a:ext uri="{63B3BB69-23CF-44E3-9099-C40C66FF867C}">
                  <a14:compatExt spid="_x0000_s16409"/>
                </a:ext>
                <a:ext uri="{FF2B5EF4-FFF2-40B4-BE49-F238E27FC236}">
                  <a16:creationId xmlns:a16="http://schemas.microsoft.com/office/drawing/2014/main" id="{00000000-0008-0000-0700-000019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180975</xdr:colOff>
          <xdr:row>67</xdr:row>
          <xdr:rowOff>9525</xdr:rowOff>
        </xdr:from>
        <xdr:to>
          <xdr:col>13</xdr:col>
          <xdr:colOff>495300</xdr:colOff>
          <xdr:row>67</xdr:row>
          <xdr:rowOff>190500</xdr:rowOff>
        </xdr:to>
        <xdr:sp macro="" textlink="">
          <xdr:nvSpPr>
            <xdr:cNvPr id="16410" name="Option Button 26" hidden="1">
              <a:extLst>
                <a:ext uri="{63B3BB69-23CF-44E3-9099-C40C66FF867C}">
                  <a14:compatExt spid="_x0000_s16410"/>
                </a:ext>
                <a:ext uri="{FF2B5EF4-FFF2-40B4-BE49-F238E27FC236}">
                  <a16:creationId xmlns:a16="http://schemas.microsoft.com/office/drawing/2014/main" id="{00000000-0008-0000-0700-00001A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180975</xdr:colOff>
          <xdr:row>67</xdr:row>
          <xdr:rowOff>9525</xdr:rowOff>
        </xdr:from>
        <xdr:to>
          <xdr:col>14</xdr:col>
          <xdr:colOff>495300</xdr:colOff>
          <xdr:row>67</xdr:row>
          <xdr:rowOff>190500</xdr:rowOff>
        </xdr:to>
        <xdr:sp macro="" textlink="">
          <xdr:nvSpPr>
            <xdr:cNvPr id="16411" name="Option Button 27" hidden="1">
              <a:extLst>
                <a:ext uri="{63B3BB69-23CF-44E3-9099-C40C66FF867C}">
                  <a14:compatExt spid="_x0000_s16411"/>
                </a:ext>
                <a:ext uri="{FF2B5EF4-FFF2-40B4-BE49-F238E27FC236}">
                  <a16:creationId xmlns:a16="http://schemas.microsoft.com/office/drawing/2014/main" id="{00000000-0008-0000-0700-00001B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180975</xdr:colOff>
          <xdr:row>67</xdr:row>
          <xdr:rowOff>9525</xdr:rowOff>
        </xdr:from>
        <xdr:to>
          <xdr:col>15</xdr:col>
          <xdr:colOff>495300</xdr:colOff>
          <xdr:row>67</xdr:row>
          <xdr:rowOff>190500</xdr:rowOff>
        </xdr:to>
        <xdr:sp macro="" textlink="">
          <xdr:nvSpPr>
            <xdr:cNvPr id="16412" name="Option Button 28" hidden="1">
              <a:extLst>
                <a:ext uri="{63B3BB69-23CF-44E3-9099-C40C66FF867C}">
                  <a14:compatExt spid="_x0000_s16412"/>
                </a:ext>
                <a:ext uri="{FF2B5EF4-FFF2-40B4-BE49-F238E27FC236}">
                  <a16:creationId xmlns:a16="http://schemas.microsoft.com/office/drawing/2014/main" id="{00000000-0008-0000-0700-00001C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180975</xdr:colOff>
          <xdr:row>67</xdr:row>
          <xdr:rowOff>9525</xdr:rowOff>
        </xdr:from>
        <xdr:to>
          <xdr:col>16</xdr:col>
          <xdr:colOff>495300</xdr:colOff>
          <xdr:row>67</xdr:row>
          <xdr:rowOff>190500</xdr:rowOff>
        </xdr:to>
        <xdr:sp macro="" textlink="">
          <xdr:nvSpPr>
            <xdr:cNvPr id="16413" name="Option Button 29" hidden="1">
              <a:extLst>
                <a:ext uri="{63B3BB69-23CF-44E3-9099-C40C66FF867C}">
                  <a14:compatExt spid="_x0000_s16413"/>
                </a:ext>
                <a:ext uri="{FF2B5EF4-FFF2-40B4-BE49-F238E27FC236}">
                  <a16:creationId xmlns:a16="http://schemas.microsoft.com/office/drawing/2014/main" id="{00000000-0008-0000-0700-00001D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86</xdr:row>
          <xdr:rowOff>190500</xdr:rowOff>
        </xdr:from>
        <xdr:to>
          <xdr:col>8</xdr:col>
          <xdr:colOff>0</xdr:colOff>
          <xdr:row>88</xdr:row>
          <xdr:rowOff>9525</xdr:rowOff>
        </xdr:to>
        <xdr:sp macro="" textlink="">
          <xdr:nvSpPr>
            <xdr:cNvPr id="16414" name="Group Box 30" hidden="1">
              <a:extLst>
                <a:ext uri="{63B3BB69-23CF-44E3-9099-C40C66FF867C}">
                  <a14:compatExt spid="_x0000_s16414"/>
                </a:ext>
                <a:ext uri="{FF2B5EF4-FFF2-40B4-BE49-F238E27FC236}">
                  <a16:creationId xmlns:a16="http://schemas.microsoft.com/office/drawing/2014/main" id="{00000000-0008-0000-0700-00001E4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87</xdr:row>
          <xdr:rowOff>9525</xdr:rowOff>
        </xdr:from>
        <xdr:to>
          <xdr:col>2</xdr:col>
          <xdr:colOff>495300</xdr:colOff>
          <xdr:row>88</xdr:row>
          <xdr:rowOff>0</xdr:rowOff>
        </xdr:to>
        <xdr:sp macro="" textlink="">
          <xdr:nvSpPr>
            <xdr:cNvPr id="16415" name="Option Button 31" hidden="1">
              <a:extLst>
                <a:ext uri="{63B3BB69-23CF-44E3-9099-C40C66FF867C}">
                  <a14:compatExt spid="_x0000_s16415"/>
                </a:ext>
                <a:ext uri="{FF2B5EF4-FFF2-40B4-BE49-F238E27FC236}">
                  <a16:creationId xmlns:a16="http://schemas.microsoft.com/office/drawing/2014/main" id="{00000000-0008-0000-0700-00001F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180975</xdr:colOff>
          <xdr:row>87</xdr:row>
          <xdr:rowOff>9525</xdr:rowOff>
        </xdr:from>
        <xdr:to>
          <xdr:col>3</xdr:col>
          <xdr:colOff>495300</xdr:colOff>
          <xdr:row>88</xdr:row>
          <xdr:rowOff>0</xdr:rowOff>
        </xdr:to>
        <xdr:sp macro="" textlink="">
          <xdr:nvSpPr>
            <xdr:cNvPr id="16416" name="Option Button 32" hidden="1">
              <a:extLst>
                <a:ext uri="{63B3BB69-23CF-44E3-9099-C40C66FF867C}">
                  <a14:compatExt spid="_x0000_s16416"/>
                </a:ext>
                <a:ext uri="{FF2B5EF4-FFF2-40B4-BE49-F238E27FC236}">
                  <a16:creationId xmlns:a16="http://schemas.microsoft.com/office/drawing/2014/main" id="{00000000-0008-0000-0700-000020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87</xdr:row>
          <xdr:rowOff>9525</xdr:rowOff>
        </xdr:from>
        <xdr:to>
          <xdr:col>4</xdr:col>
          <xdr:colOff>495300</xdr:colOff>
          <xdr:row>88</xdr:row>
          <xdr:rowOff>0</xdr:rowOff>
        </xdr:to>
        <xdr:sp macro="" textlink="">
          <xdr:nvSpPr>
            <xdr:cNvPr id="16417" name="Option Button 33" hidden="1">
              <a:extLst>
                <a:ext uri="{63B3BB69-23CF-44E3-9099-C40C66FF867C}">
                  <a14:compatExt spid="_x0000_s16417"/>
                </a:ext>
                <a:ext uri="{FF2B5EF4-FFF2-40B4-BE49-F238E27FC236}">
                  <a16:creationId xmlns:a16="http://schemas.microsoft.com/office/drawing/2014/main" id="{00000000-0008-0000-0700-00002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180975</xdr:colOff>
          <xdr:row>87</xdr:row>
          <xdr:rowOff>9525</xdr:rowOff>
        </xdr:from>
        <xdr:to>
          <xdr:col>5</xdr:col>
          <xdr:colOff>495300</xdr:colOff>
          <xdr:row>88</xdr:row>
          <xdr:rowOff>0</xdr:rowOff>
        </xdr:to>
        <xdr:sp macro="" textlink="">
          <xdr:nvSpPr>
            <xdr:cNvPr id="16418" name="Option Button 34" hidden="1">
              <a:extLst>
                <a:ext uri="{63B3BB69-23CF-44E3-9099-C40C66FF867C}">
                  <a14:compatExt spid="_x0000_s16418"/>
                </a:ext>
                <a:ext uri="{FF2B5EF4-FFF2-40B4-BE49-F238E27FC236}">
                  <a16:creationId xmlns:a16="http://schemas.microsoft.com/office/drawing/2014/main" id="{00000000-0008-0000-0700-00002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87</xdr:row>
          <xdr:rowOff>9525</xdr:rowOff>
        </xdr:from>
        <xdr:to>
          <xdr:col>6</xdr:col>
          <xdr:colOff>495300</xdr:colOff>
          <xdr:row>88</xdr:row>
          <xdr:rowOff>0</xdr:rowOff>
        </xdr:to>
        <xdr:sp macro="" textlink="">
          <xdr:nvSpPr>
            <xdr:cNvPr id="16419" name="Option Button 35" hidden="1">
              <a:extLst>
                <a:ext uri="{63B3BB69-23CF-44E3-9099-C40C66FF867C}">
                  <a14:compatExt spid="_x0000_s16419"/>
                </a:ext>
                <a:ext uri="{FF2B5EF4-FFF2-40B4-BE49-F238E27FC236}">
                  <a16:creationId xmlns:a16="http://schemas.microsoft.com/office/drawing/2014/main" id="{00000000-0008-0000-0700-00002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87</xdr:row>
          <xdr:rowOff>9525</xdr:rowOff>
        </xdr:from>
        <xdr:to>
          <xdr:col>7</xdr:col>
          <xdr:colOff>495300</xdr:colOff>
          <xdr:row>88</xdr:row>
          <xdr:rowOff>0</xdr:rowOff>
        </xdr:to>
        <xdr:sp macro="" textlink="">
          <xdr:nvSpPr>
            <xdr:cNvPr id="16420" name="Option Button 36" hidden="1">
              <a:extLst>
                <a:ext uri="{63B3BB69-23CF-44E3-9099-C40C66FF867C}">
                  <a14:compatExt spid="_x0000_s16420"/>
                </a:ext>
                <a:ext uri="{FF2B5EF4-FFF2-40B4-BE49-F238E27FC236}">
                  <a16:creationId xmlns:a16="http://schemas.microsoft.com/office/drawing/2014/main" id="{00000000-0008-0000-0700-00002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87</xdr:row>
          <xdr:rowOff>190500</xdr:rowOff>
        </xdr:from>
        <xdr:to>
          <xdr:col>8</xdr:col>
          <xdr:colOff>0</xdr:colOff>
          <xdr:row>89</xdr:row>
          <xdr:rowOff>9525</xdr:rowOff>
        </xdr:to>
        <xdr:sp macro="" textlink="">
          <xdr:nvSpPr>
            <xdr:cNvPr id="16421" name="Group Box 37" hidden="1">
              <a:extLst>
                <a:ext uri="{63B3BB69-23CF-44E3-9099-C40C66FF867C}">
                  <a14:compatExt spid="_x0000_s16421"/>
                </a:ext>
                <a:ext uri="{FF2B5EF4-FFF2-40B4-BE49-F238E27FC236}">
                  <a16:creationId xmlns:a16="http://schemas.microsoft.com/office/drawing/2014/main" id="{00000000-0008-0000-0700-0000254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88</xdr:row>
          <xdr:rowOff>9525</xdr:rowOff>
        </xdr:from>
        <xdr:to>
          <xdr:col>2</xdr:col>
          <xdr:colOff>495300</xdr:colOff>
          <xdr:row>89</xdr:row>
          <xdr:rowOff>0</xdr:rowOff>
        </xdr:to>
        <xdr:sp macro="" textlink="">
          <xdr:nvSpPr>
            <xdr:cNvPr id="16422" name="Option Button 38" hidden="1">
              <a:extLst>
                <a:ext uri="{63B3BB69-23CF-44E3-9099-C40C66FF867C}">
                  <a14:compatExt spid="_x0000_s16422"/>
                </a:ext>
                <a:ext uri="{FF2B5EF4-FFF2-40B4-BE49-F238E27FC236}">
                  <a16:creationId xmlns:a16="http://schemas.microsoft.com/office/drawing/2014/main" id="{00000000-0008-0000-0700-000026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180975</xdr:colOff>
          <xdr:row>88</xdr:row>
          <xdr:rowOff>9525</xdr:rowOff>
        </xdr:from>
        <xdr:to>
          <xdr:col>3</xdr:col>
          <xdr:colOff>495300</xdr:colOff>
          <xdr:row>89</xdr:row>
          <xdr:rowOff>0</xdr:rowOff>
        </xdr:to>
        <xdr:sp macro="" textlink="">
          <xdr:nvSpPr>
            <xdr:cNvPr id="16423" name="Option Button 39" hidden="1">
              <a:extLst>
                <a:ext uri="{63B3BB69-23CF-44E3-9099-C40C66FF867C}">
                  <a14:compatExt spid="_x0000_s16423"/>
                </a:ext>
                <a:ext uri="{FF2B5EF4-FFF2-40B4-BE49-F238E27FC236}">
                  <a16:creationId xmlns:a16="http://schemas.microsoft.com/office/drawing/2014/main" id="{00000000-0008-0000-0700-000027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88</xdr:row>
          <xdr:rowOff>9525</xdr:rowOff>
        </xdr:from>
        <xdr:to>
          <xdr:col>4</xdr:col>
          <xdr:colOff>495300</xdr:colOff>
          <xdr:row>89</xdr:row>
          <xdr:rowOff>0</xdr:rowOff>
        </xdr:to>
        <xdr:sp macro="" textlink="">
          <xdr:nvSpPr>
            <xdr:cNvPr id="16424" name="Option Button 40" hidden="1">
              <a:extLst>
                <a:ext uri="{63B3BB69-23CF-44E3-9099-C40C66FF867C}">
                  <a14:compatExt spid="_x0000_s16424"/>
                </a:ext>
                <a:ext uri="{FF2B5EF4-FFF2-40B4-BE49-F238E27FC236}">
                  <a16:creationId xmlns:a16="http://schemas.microsoft.com/office/drawing/2014/main" id="{00000000-0008-0000-0700-000028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180975</xdr:colOff>
          <xdr:row>88</xdr:row>
          <xdr:rowOff>9525</xdr:rowOff>
        </xdr:from>
        <xdr:to>
          <xdr:col>5</xdr:col>
          <xdr:colOff>495300</xdr:colOff>
          <xdr:row>89</xdr:row>
          <xdr:rowOff>0</xdr:rowOff>
        </xdr:to>
        <xdr:sp macro="" textlink="">
          <xdr:nvSpPr>
            <xdr:cNvPr id="16425" name="Option Button 41" hidden="1">
              <a:extLst>
                <a:ext uri="{63B3BB69-23CF-44E3-9099-C40C66FF867C}">
                  <a14:compatExt spid="_x0000_s16425"/>
                </a:ext>
                <a:ext uri="{FF2B5EF4-FFF2-40B4-BE49-F238E27FC236}">
                  <a16:creationId xmlns:a16="http://schemas.microsoft.com/office/drawing/2014/main" id="{00000000-0008-0000-0700-000029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88</xdr:row>
          <xdr:rowOff>9525</xdr:rowOff>
        </xdr:from>
        <xdr:to>
          <xdr:col>6</xdr:col>
          <xdr:colOff>495300</xdr:colOff>
          <xdr:row>89</xdr:row>
          <xdr:rowOff>0</xdr:rowOff>
        </xdr:to>
        <xdr:sp macro="" textlink="">
          <xdr:nvSpPr>
            <xdr:cNvPr id="16426" name="Option Button 42" hidden="1">
              <a:extLst>
                <a:ext uri="{63B3BB69-23CF-44E3-9099-C40C66FF867C}">
                  <a14:compatExt spid="_x0000_s16426"/>
                </a:ext>
                <a:ext uri="{FF2B5EF4-FFF2-40B4-BE49-F238E27FC236}">
                  <a16:creationId xmlns:a16="http://schemas.microsoft.com/office/drawing/2014/main" id="{00000000-0008-0000-0700-00002A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88</xdr:row>
          <xdr:rowOff>9525</xdr:rowOff>
        </xdr:from>
        <xdr:to>
          <xdr:col>7</xdr:col>
          <xdr:colOff>495300</xdr:colOff>
          <xdr:row>89</xdr:row>
          <xdr:rowOff>0</xdr:rowOff>
        </xdr:to>
        <xdr:sp macro="" textlink="">
          <xdr:nvSpPr>
            <xdr:cNvPr id="16427" name="Option Button 43" hidden="1">
              <a:extLst>
                <a:ext uri="{63B3BB69-23CF-44E3-9099-C40C66FF867C}">
                  <a14:compatExt spid="_x0000_s16427"/>
                </a:ext>
                <a:ext uri="{FF2B5EF4-FFF2-40B4-BE49-F238E27FC236}">
                  <a16:creationId xmlns:a16="http://schemas.microsoft.com/office/drawing/2014/main" id="{00000000-0008-0000-0700-00002B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86</xdr:row>
          <xdr:rowOff>190500</xdr:rowOff>
        </xdr:from>
        <xdr:to>
          <xdr:col>16</xdr:col>
          <xdr:colOff>504825</xdr:colOff>
          <xdr:row>88</xdr:row>
          <xdr:rowOff>9525</xdr:rowOff>
        </xdr:to>
        <xdr:sp macro="" textlink="">
          <xdr:nvSpPr>
            <xdr:cNvPr id="16428" name="Group Box 44" hidden="1">
              <a:extLst>
                <a:ext uri="{63B3BB69-23CF-44E3-9099-C40C66FF867C}">
                  <a14:compatExt spid="_x0000_s16428"/>
                </a:ext>
                <a:ext uri="{FF2B5EF4-FFF2-40B4-BE49-F238E27FC236}">
                  <a16:creationId xmlns:a16="http://schemas.microsoft.com/office/drawing/2014/main" id="{00000000-0008-0000-0700-00002C4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87</xdr:row>
          <xdr:rowOff>9525</xdr:rowOff>
        </xdr:from>
        <xdr:to>
          <xdr:col>11</xdr:col>
          <xdr:colOff>495300</xdr:colOff>
          <xdr:row>88</xdr:row>
          <xdr:rowOff>0</xdr:rowOff>
        </xdr:to>
        <xdr:sp macro="" textlink="">
          <xdr:nvSpPr>
            <xdr:cNvPr id="16429" name="Option Button 45" hidden="1">
              <a:extLst>
                <a:ext uri="{63B3BB69-23CF-44E3-9099-C40C66FF867C}">
                  <a14:compatExt spid="_x0000_s16429"/>
                </a:ext>
                <a:ext uri="{FF2B5EF4-FFF2-40B4-BE49-F238E27FC236}">
                  <a16:creationId xmlns:a16="http://schemas.microsoft.com/office/drawing/2014/main" id="{00000000-0008-0000-0700-00002D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87</xdr:row>
          <xdr:rowOff>9525</xdr:rowOff>
        </xdr:from>
        <xdr:to>
          <xdr:col>12</xdr:col>
          <xdr:colOff>495300</xdr:colOff>
          <xdr:row>88</xdr:row>
          <xdr:rowOff>0</xdr:rowOff>
        </xdr:to>
        <xdr:sp macro="" textlink="">
          <xdr:nvSpPr>
            <xdr:cNvPr id="16430" name="Option Button 46" hidden="1">
              <a:extLst>
                <a:ext uri="{63B3BB69-23CF-44E3-9099-C40C66FF867C}">
                  <a14:compatExt spid="_x0000_s16430"/>
                </a:ext>
                <a:ext uri="{FF2B5EF4-FFF2-40B4-BE49-F238E27FC236}">
                  <a16:creationId xmlns:a16="http://schemas.microsoft.com/office/drawing/2014/main" id="{00000000-0008-0000-0700-00002E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180975</xdr:colOff>
          <xdr:row>87</xdr:row>
          <xdr:rowOff>9525</xdr:rowOff>
        </xdr:from>
        <xdr:to>
          <xdr:col>13</xdr:col>
          <xdr:colOff>495300</xdr:colOff>
          <xdr:row>88</xdr:row>
          <xdr:rowOff>0</xdr:rowOff>
        </xdr:to>
        <xdr:sp macro="" textlink="">
          <xdr:nvSpPr>
            <xdr:cNvPr id="16431" name="Option Button 47" hidden="1">
              <a:extLst>
                <a:ext uri="{63B3BB69-23CF-44E3-9099-C40C66FF867C}">
                  <a14:compatExt spid="_x0000_s16431"/>
                </a:ext>
                <a:ext uri="{FF2B5EF4-FFF2-40B4-BE49-F238E27FC236}">
                  <a16:creationId xmlns:a16="http://schemas.microsoft.com/office/drawing/2014/main" id="{00000000-0008-0000-0700-00002F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180975</xdr:colOff>
          <xdr:row>87</xdr:row>
          <xdr:rowOff>9525</xdr:rowOff>
        </xdr:from>
        <xdr:to>
          <xdr:col>14</xdr:col>
          <xdr:colOff>495300</xdr:colOff>
          <xdr:row>88</xdr:row>
          <xdr:rowOff>0</xdr:rowOff>
        </xdr:to>
        <xdr:sp macro="" textlink="">
          <xdr:nvSpPr>
            <xdr:cNvPr id="16432" name="Option Button 48" hidden="1">
              <a:extLst>
                <a:ext uri="{63B3BB69-23CF-44E3-9099-C40C66FF867C}">
                  <a14:compatExt spid="_x0000_s16432"/>
                </a:ext>
                <a:ext uri="{FF2B5EF4-FFF2-40B4-BE49-F238E27FC236}">
                  <a16:creationId xmlns:a16="http://schemas.microsoft.com/office/drawing/2014/main" id="{00000000-0008-0000-0700-000030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180975</xdr:colOff>
          <xdr:row>87</xdr:row>
          <xdr:rowOff>9525</xdr:rowOff>
        </xdr:from>
        <xdr:to>
          <xdr:col>15</xdr:col>
          <xdr:colOff>495300</xdr:colOff>
          <xdr:row>88</xdr:row>
          <xdr:rowOff>0</xdr:rowOff>
        </xdr:to>
        <xdr:sp macro="" textlink="">
          <xdr:nvSpPr>
            <xdr:cNvPr id="16433" name="Option Button 49" hidden="1">
              <a:extLst>
                <a:ext uri="{63B3BB69-23CF-44E3-9099-C40C66FF867C}">
                  <a14:compatExt spid="_x0000_s16433"/>
                </a:ext>
                <a:ext uri="{FF2B5EF4-FFF2-40B4-BE49-F238E27FC236}">
                  <a16:creationId xmlns:a16="http://schemas.microsoft.com/office/drawing/2014/main" id="{00000000-0008-0000-0700-00003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180975</xdr:colOff>
          <xdr:row>87</xdr:row>
          <xdr:rowOff>9525</xdr:rowOff>
        </xdr:from>
        <xdr:to>
          <xdr:col>16</xdr:col>
          <xdr:colOff>495300</xdr:colOff>
          <xdr:row>88</xdr:row>
          <xdr:rowOff>0</xdr:rowOff>
        </xdr:to>
        <xdr:sp macro="" textlink="">
          <xdr:nvSpPr>
            <xdr:cNvPr id="16434" name="Option Button 50" hidden="1">
              <a:extLst>
                <a:ext uri="{63B3BB69-23CF-44E3-9099-C40C66FF867C}">
                  <a14:compatExt spid="_x0000_s16434"/>
                </a:ext>
                <a:ext uri="{FF2B5EF4-FFF2-40B4-BE49-F238E27FC236}">
                  <a16:creationId xmlns:a16="http://schemas.microsoft.com/office/drawing/2014/main" id="{00000000-0008-0000-0700-00003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87</xdr:row>
          <xdr:rowOff>190500</xdr:rowOff>
        </xdr:from>
        <xdr:to>
          <xdr:col>16</xdr:col>
          <xdr:colOff>504825</xdr:colOff>
          <xdr:row>89</xdr:row>
          <xdr:rowOff>9525</xdr:rowOff>
        </xdr:to>
        <xdr:sp macro="" textlink="">
          <xdr:nvSpPr>
            <xdr:cNvPr id="16435" name="Group Box 51" hidden="1">
              <a:extLst>
                <a:ext uri="{63B3BB69-23CF-44E3-9099-C40C66FF867C}">
                  <a14:compatExt spid="_x0000_s16435"/>
                </a:ext>
                <a:ext uri="{FF2B5EF4-FFF2-40B4-BE49-F238E27FC236}">
                  <a16:creationId xmlns:a16="http://schemas.microsoft.com/office/drawing/2014/main" id="{00000000-0008-0000-0700-0000334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88</xdr:row>
          <xdr:rowOff>9525</xdr:rowOff>
        </xdr:from>
        <xdr:to>
          <xdr:col>11</xdr:col>
          <xdr:colOff>495300</xdr:colOff>
          <xdr:row>89</xdr:row>
          <xdr:rowOff>0</xdr:rowOff>
        </xdr:to>
        <xdr:sp macro="" textlink="">
          <xdr:nvSpPr>
            <xdr:cNvPr id="16436" name="Option Button 52" hidden="1">
              <a:extLst>
                <a:ext uri="{63B3BB69-23CF-44E3-9099-C40C66FF867C}">
                  <a14:compatExt spid="_x0000_s16436"/>
                </a:ext>
                <a:ext uri="{FF2B5EF4-FFF2-40B4-BE49-F238E27FC236}">
                  <a16:creationId xmlns:a16="http://schemas.microsoft.com/office/drawing/2014/main" id="{00000000-0008-0000-0700-00003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88</xdr:row>
          <xdr:rowOff>9525</xdr:rowOff>
        </xdr:from>
        <xdr:to>
          <xdr:col>12</xdr:col>
          <xdr:colOff>495300</xdr:colOff>
          <xdr:row>89</xdr:row>
          <xdr:rowOff>0</xdr:rowOff>
        </xdr:to>
        <xdr:sp macro="" textlink="">
          <xdr:nvSpPr>
            <xdr:cNvPr id="16437" name="Option Button 53" hidden="1">
              <a:extLst>
                <a:ext uri="{63B3BB69-23CF-44E3-9099-C40C66FF867C}">
                  <a14:compatExt spid="_x0000_s16437"/>
                </a:ext>
                <a:ext uri="{FF2B5EF4-FFF2-40B4-BE49-F238E27FC236}">
                  <a16:creationId xmlns:a16="http://schemas.microsoft.com/office/drawing/2014/main" id="{00000000-0008-0000-0700-000035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180975</xdr:colOff>
          <xdr:row>88</xdr:row>
          <xdr:rowOff>9525</xdr:rowOff>
        </xdr:from>
        <xdr:to>
          <xdr:col>13</xdr:col>
          <xdr:colOff>495300</xdr:colOff>
          <xdr:row>89</xdr:row>
          <xdr:rowOff>0</xdr:rowOff>
        </xdr:to>
        <xdr:sp macro="" textlink="">
          <xdr:nvSpPr>
            <xdr:cNvPr id="16438" name="Option Button 54" hidden="1">
              <a:extLst>
                <a:ext uri="{63B3BB69-23CF-44E3-9099-C40C66FF867C}">
                  <a14:compatExt spid="_x0000_s16438"/>
                </a:ext>
                <a:ext uri="{FF2B5EF4-FFF2-40B4-BE49-F238E27FC236}">
                  <a16:creationId xmlns:a16="http://schemas.microsoft.com/office/drawing/2014/main" id="{00000000-0008-0000-0700-000036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180975</xdr:colOff>
          <xdr:row>88</xdr:row>
          <xdr:rowOff>9525</xdr:rowOff>
        </xdr:from>
        <xdr:to>
          <xdr:col>14</xdr:col>
          <xdr:colOff>495300</xdr:colOff>
          <xdr:row>89</xdr:row>
          <xdr:rowOff>0</xdr:rowOff>
        </xdr:to>
        <xdr:sp macro="" textlink="">
          <xdr:nvSpPr>
            <xdr:cNvPr id="16439" name="Option Button 55" hidden="1">
              <a:extLst>
                <a:ext uri="{63B3BB69-23CF-44E3-9099-C40C66FF867C}">
                  <a14:compatExt spid="_x0000_s16439"/>
                </a:ext>
                <a:ext uri="{FF2B5EF4-FFF2-40B4-BE49-F238E27FC236}">
                  <a16:creationId xmlns:a16="http://schemas.microsoft.com/office/drawing/2014/main" id="{00000000-0008-0000-0700-000037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180975</xdr:colOff>
          <xdr:row>88</xdr:row>
          <xdr:rowOff>9525</xdr:rowOff>
        </xdr:from>
        <xdr:to>
          <xdr:col>15</xdr:col>
          <xdr:colOff>495300</xdr:colOff>
          <xdr:row>89</xdr:row>
          <xdr:rowOff>0</xdr:rowOff>
        </xdr:to>
        <xdr:sp macro="" textlink="">
          <xdr:nvSpPr>
            <xdr:cNvPr id="16440" name="Option Button 56" hidden="1">
              <a:extLst>
                <a:ext uri="{63B3BB69-23CF-44E3-9099-C40C66FF867C}">
                  <a14:compatExt spid="_x0000_s16440"/>
                </a:ext>
                <a:ext uri="{FF2B5EF4-FFF2-40B4-BE49-F238E27FC236}">
                  <a16:creationId xmlns:a16="http://schemas.microsoft.com/office/drawing/2014/main" id="{00000000-0008-0000-0700-000038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180975</xdr:colOff>
          <xdr:row>88</xdr:row>
          <xdr:rowOff>9525</xdr:rowOff>
        </xdr:from>
        <xdr:to>
          <xdr:col>16</xdr:col>
          <xdr:colOff>495300</xdr:colOff>
          <xdr:row>89</xdr:row>
          <xdr:rowOff>0</xdr:rowOff>
        </xdr:to>
        <xdr:sp macro="" textlink="">
          <xdr:nvSpPr>
            <xdr:cNvPr id="16441" name="Option Button 57" hidden="1">
              <a:extLst>
                <a:ext uri="{63B3BB69-23CF-44E3-9099-C40C66FF867C}">
                  <a14:compatExt spid="_x0000_s16441"/>
                </a:ext>
                <a:ext uri="{FF2B5EF4-FFF2-40B4-BE49-F238E27FC236}">
                  <a16:creationId xmlns:a16="http://schemas.microsoft.com/office/drawing/2014/main" id="{00000000-0008-0000-0700-000039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86</xdr:row>
          <xdr:rowOff>190500</xdr:rowOff>
        </xdr:from>
        <xdr:to>
          <xdr:col>8</xdr:col>
          <xdr:colOff>0</xdr:colOff>
          <xdr:row>88</xdr:row>
          <xdr:rowOff>9525</xdr:rowOff>
        </xdr:to>
        <xdr:sp macro="" textlink="">
          <xdr:nvSpPr>
            <xdr:cNvPr id="16442" name="Group Box 58" hidden="1">
              <a:extLst>
                <a:ext uri="{63B3BB69-23CF-44E3-9099-C40C66FF867C}">
                  <a14:compatExt spid="_x0000_s16442"/>
                </a:ext>
                <a:ext uri="{FF2B5EF4-FFF2-40B4-BE49-F238E27FC236}">
                  <a16:creationId xmlns:a16="http://schemas.microsoft.com/office/drawing/2014/main" id="{00000000-0008-0000-0700-00003A4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87</xdr:row>
          <xdr:rowOff>9525</xdr:rowOff>
        </xdr:from>
        <xdr:to>
          <xdr:col>2</xdr:col>
          <xdr:colOff>495300</xdr:colOff>
          <xdr:row>88</xdr:row>
          <xdr:rowOff>0</xdr:rowOff>
        </xdr:to>
        <xdr:sp macro="" textlink="">
          <xdr:nvSpPr>
            <xdr:cNvPr id="16443" name="Option Button 59" hidden="1">
              <a:extLst>
                <a:ext uri="{63B3BB69-23CF-44E3-9099-C40C66FF867C}">
                  <a14:compatExt spid="_x0000_s16443"/>
                </a:ext>
                <a:ext uri="{FF2B5EF4-FFF2-40B4-BE49-F238E27FC236}">
                  <a16:creationId xmlns:a16="http://schemas.microsoft.com/office/drawing/2014/main" id="{00000000-0008-0000-0700-00003B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180975</xdr:colOff>
          <xdr:row>87</xdr:row>
          <xdr:rowOff>9525</xdr:rowOff>
        </xdr:from>
        <xdr:to>
          <xdr:col>3</xdr:col>
          <xdr:colOff>495300</xdr:colOff>
          <xdr:row>88</xdr:row>
          <xdr:rowOff>0</xdr:rowOff>
        </xdr:to>
        <xdr:sp macro="" textlink="">
          <xdr:nvSpPr>
            <xdr:cNvPr id="16444" name="Option Button 60" hidden="1">
              <a:extLst>
                <a:ext uri="{63B3BB69-23CF-44E3-9099-C40C66FF867C}">
                  <a14:compatExt spid="_x0000_s16444"/>
                </a:ext>
                <a:ext uri="{FF2B5EF4-FFF2-40B4-BE49-F238E27FC236}">
                  <a16:creationId xmlns:a16="http://schemas.microsoft.com/office/drawing/2014/main" id="{00000000-0008-0000-0700-00003C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87</xdr:row>
          <xdr:rowOff>9525</xdr:rowOff>
        </xdr:from>
        <xdr:to>
          <xdr:col>4</xdr:col>
          <xdr:colOff>495300</xdr:colOff>
          <xdr:row>88</xdr:row>
          <xdr:rowOff>0</xdr:rowOff>
        </xdr:to>
        <xdr:sp macro="" textlink="">
          <xdr:nvSpPr>
            <xdr:cNvPr id="16445" name="Option Button 61" hidden="1">
              <a:extLst>
                <a:ext uri="{63B3BB69-23CF-44E3-9099-C40C66FF867C}">
                  <a14:compatExt spid="_x0000_s16445"/>
                </a:ext>
                <a:ext uri="{FF2B5EF4-FFF2-40B4-BE49-F238E27FC236}">
                  <a16:creationId xmlns:a16="http://schemas.microsoft.com/office/drawing/2014/main" id="{00000000-0008-0000-0700-00003D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180975</xdr:colOff>
          <xdr:row>87</xdr:row>
          <xdr:rowOff>9525</xdr:rowOff>
        </xdr:from>
        <xdr:to>
          <xdr:col>5</xdr:col>
          <xdr:colOff>495300</xdr:colOff>
          <xdr:row>88</xdr:row>
          <xdr:rowOff>0</xdr:rowOff>
        </xdr:to>
        <xdr:sp macro="" textlink="">
          <xdr:nvSpPr>
            <xdr:cNvPr id="16446" name="Option Button 62" hidden="1">
              <a:extLst>
                <a:ext uri="{63B3BB69-23CF-44E3-9099-C40C66FF867C}">
                  <a14:compatExt spid="_x0000_s16446"/>
                </a:ext>
                <a:ext uri="{FF2B5EF4-FFF2-40B4-BE49-F238E27FC236}">
                  <a16:creationId xmlns:a16="http://schemas.microsoft.com/office/drawing/2014/main" id="{00000000-0008-0000-0700-00003E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87</xdr:row>
          <xdr:rowOff>9525</xdr:rowOff>
        </xdr:from>
        <xdr:to>
          <xdr:col>6</xdr:col>
          <xdr:colOff>495300</xdr:colOff>
          <xdr:row>88</xdr:row>
          <xdr:rowOff>0</xdr:rowOff>
        </xdr:to>
        <xdr:sp macro="" textlink="">
          <xdr:nvSpPr>
            <xdr:cNvPr id="16447" name="Option Button 63" hidden="1">
              <a:extLst>
                <a:ext uri="{63B3BB69-23CF-44E3-9099-C40C66FF867C}">
                  <a14:compatExt spid="_x0000_s16447"/>
                </a:ext>
                <a:ext uri="{FF2B5EF4-FFF2-40B4-BE49-F238E27FC236}">
                  <a16:creationId xmlns:a16="http://schemas.microsoft.com/office/drawing/2014/main" id="{00000000-0008-0000-0700-00003F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87</xdr:row>
          <xdr:rowOff>9525</xdr:rowOff>
        </xdr:from>
        <xdr:to>
          <xdr:col>7</xdr:col>
          <xdr:colOff>495300</xdr:colOff>
          <xdr:row>88</xdr:row>
          <xdr:rowOff>0</xdr:rowOff>
        </xdr:to>
        <xdr:sp macro="" textlink="">
          <xdr:nvSpPr>
            <xdr:cNvPr id="16448" name="Option Button 64" hidden="1">
              <a:extLst>
                <a:ext uri="{63B3BB69-23CF-44E3-9099-C40C66FF867C}">
                  <a14:compatExt spid="_x0000_s16448"/>
                </a:ext>
                <a:ext uri="{FF2B5EF4-FFF2-40B4-BE49-F238E27FC236}">
                  <a16:creationId xmlns:a16="http://schemas.microsoft.com/office/drawing/2014/main" id="{00000000-0008-0000-0700-000040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87</xdr:row>
          <xdr:rowOff>190500</xdr:rowOff>
        </xdr:from>
        <xdr:to>
          <xdr:col>8</xdr:col>
          <xdr:colOff>0</xdr:colOff>
          <xdr:row>89</xdr:row>
          <xdr:rowOff>9525</xdr:rowOff>
        </xdr:to>
        <xdr:sp macro="" textlink="">
          <xdr:nvSpPr>
            <xdr:cNvPr id="16449" name="Group Box 65" hidden="1">
              <a:extLst>
                <a:ext uri="{63B3BB69-23CF-44E3-9099-C40C66FF867C}">
                  <a14:compatExt spid="_x0000_s16449"/>
                </a:ext>
                <a:ext uri="{FF2B5EF4-FFF2-40B4-BE49-F238E27FC236}">
                  <a16:creationId xmlns:a16="http://schemas.microsoft.com/office/drawing/2014/main" id="{00000000-0008-0000-0700-0000414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88</xdr:row>
          <xdr:rowOff>9525</xdr:rowOff>
        </xdr:from>
        <xdr:to>
          <xdr:col>2</xdr:col>
          <xdr:colOff>495300</xdr:colOff>
          <xdr:row>89</xdr:row>
          <xdr:rowOff>0</xdr:rowOff>
        </xdr:to>
        <xdr:sp macro="" textlink="">
          <xdr:nvSpPr>
            <xdr:cNvPr id="16450" name="Option Button 66" hidden="1">
              <a:extLst>
                <a:ext uri="{63B3BB69-23CF-44E3-9099-C40C66FF867C}">
                  <a14:compatExt spid="_x0000_s16450"/>
                </a:ext>
                <a:ext uri="{FF2B5EF4-FFF2-40B4-BE49-F238E27FC236}">
                  <a16:creationId xmlns:a16="http://schemas.microsoft.com/office/drawing/2014/main" id="{00000000-0008-0000-0700-00004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180975</xdr:colOff>
          <xdr:row>88</xdr:row>
          <xdr:rowOff>9525</xdr:rowOff>
        </xdr:from>
        <xdr:to>
          <xdr:col>3</xdr:col>
          <xdr:colOff>495300</xdr:colOff>
          <xdr:row>89</xdr:row>
          <xdr:rowOff>0</xdr:rowOff>
        </xdr:to>
        <xdr:sp macro="" textlink="">
          <xdr:nvSpPr>
            <xdr:cNvPr id="16451" name="Option Button 67" hidden="1">
              <a:extLst>
                <a:ext uri="{63B3BB69-23CF-44E3-9099-C40C66FF867C}">
                  <a14:compatExt spid="_x0000_s16451"/>
                </a:ext>
                <a:ext uri="{FF2B5EF4-FFF2-40B4-BE49-F238E27FC236}">
                  <a16:creationId xmlns:a16="http://schemas.microsoft.com/office/drawing/2014/main" id="{00000000-0008-0000-0700-00004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88</xdr:row>
          <xdr:rowOff>9525</xdr:rowOff>
        </xdr:from>
        <xdr:to>
          <xdr:col>4</xdr:col>
          <xdr:colOff>495300</xdr:colOff>
          <xdr:row>89</xdr:row>
          <xdr:rowOff>0</xdr:rowOff>
        </xdr:to>
        <xdr:sp macro="" textlink="">
          <xdr:nvSpPr>
            <xdr:cNvPr id="16452" name="Option Button 68" hidden="1">
              <a:extLst>
                <a:ext uri="{63B3BB69-23CF-44E3-9099-C40C66FF867C}">
                  <a14:compatExt spid="_x0000_s16452"/>
                </a:ext>
                <a:ext uri="{FF2B5EF4-FFF2-40B4-BE49-F238E27FC236}">
                  <a16:creationId xmlns:a16="http://schemas.microsoft.com/office/drawing/2014/main" id="{00000000-0008-0000-0700-00004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180975</xdr:colOff>
          <xdr:row>88</xdr:row>
          <xdr:rowOff>9525</xdr:rowOff>
        </xdr:from>
        <xdr:to>
          <xdr:col>5</xdr:col>
          <xdr:colOff>495300</xdr:colOff>
          <xdr:row>89</xdr:row>
          <xdr:rowOff>0</xdr:rowOff>
        </xdr:to>
        <xdr:sp macro="" textlink="">
          <xdr:nvSpPr>
            <xdr:cNvPr id="16453" name="Option Button 69" hidden="1">
              <a:extLst>
                <a:ext uri="{63B3BB69-23CF-44E3-9099-C40C66FF867C}">
                  <a14:compatExt spid="_x0000_s16453"/>
                </a:ext>
                <a:ext uri="{FF2B5EF4-FFF2-40B4-BE49-F238E27FC236}">
                  <a16:creationId xmlns:a16="http://schemas.microsoft.com/office/drawing/2014/main" id="{00000000-0008-0000-0700-000045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88</xdr:row>
          <xdr:rowOff>9525</xdr:rowOff>
        </xdr:from>
        <xdr:to>
          <xdr:col>6</xdr:col>
          <xdr:colOff>495300</xdr:colOff>
          <xdr:row>89</xdr:row>
          <xdr:rowOff>0</xdr:rowOff>
        </xdr:to>
        <xdr:sp macro="" textlink="">
          <xdr:nvSpPr>
            <xdr:cNvPr id="16454" name="Option Button 70" hidden="1">
              <a:extLst>
                <a:ext uri="{63B3BB69-23CF-44E3-9099-C40C66FF867C}">
                  <a14:compatExt spid="_x0000_s16454"/>
                </a:ext>
                <a:ext uri="{FF2B5EF4-FFF2-40B4-BE49-F238E27FC236}">
                  <a16:creationId xmlns:a16="http://schemas.microsoft.com/office/drawing/2014/main" id="{00000000-0008-0000-0700-000046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88</xdr:row>
          <xdr:rowOff>9525</xdr:rowOff>
        </xdr:from>
        <xdr:to>
          <xdr:col>7</xdr:col>
          <xdr:colOff>495300</xdr:colOff>
          <xdr:row>89</xdr:row>
          <xdr:rowOff>0</xdr:rowOff>
        </xdr:to>
        <xdr:sp macro="" textlink="">
          <xdr:nvSpPr>
            <xdr:cNvPr id="16455" name="Option Button 71" hidden="1">
              <a:extLst>
                <a:ext uri="{63B3BB69-23CF-44E3-9099-C40C66FF867C}">
                  <a14:compatExt spid="_x0000_s16455"/>
                </a:ext>
                <a:ext uri="{FF2B5EF4-FFF2-40B4-BE49-F238E27FC236}">
                  <a16:creationId xmlns:a16="http://schemas.microsoft.com/office/drawing/2014/main" id="{00000000-0008-0000-0700-000047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86</xdr:row>
          <xdr:rowOff>190500</xdr:rowOff>
        </xdr:from>
        <xdr:to>
          <xdr:col>17</xdr:col>
          <xdr:colOff>0</xdr:colOff>
          <xdr:row>88</xdr:row>
          <xdr:rowOff>9525</xdr:rowOff>
        </xdr:to>
        <xdr:sp macro="" textlink="">
          <xdr:nvSpPr>
            <xdr:cNvPr id="16456" name="Group Box 72" hidden="1">
              <a:extLst>
                <a:ext uri="{63B3BB69-23CF-44E3-9099-C40C66FF867C}">
                  <a14:compatExt spid="_x0000_s16456"/>
                </a:ext>
                <a:ext uri="{FF2B5EF4-FFF2-40B4-BE49-F238E27FC236}">
                  <a16:creationId xmlns:a16="http://schemas.microsoft.com/office/drawing/2014/main" id="{00000000-0008-0000-0700-0000484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87</xdr:row>
          <xdr:rowOff>9525</xdr:rowOff>
        </xdr:from>
        <xdr:to>
          <xdr:col>11</xdr:col>
          <xdr:colOff>495300</xdr:colOff>
          <xdr:row>88</xdr:row>
          <xdr:rowOff>0</xdr:rowOff>
        </xdr:to>
        <xdr:sp macro="" textlink="">
          <xdr:nvSpPr>
            <xdr:cNvPr id="16457" name="Option Button 73" hidden="1">
              <a:extLst>
                <a:ext uri="{63B3BB69-23CF-44E3-9099-C40C66FF867C}">
                  <a14:compatExt spid="_x0000_s16457"/>
                </a:ext>
                <a:ext uri="{FF2B5EF4-FFF2-40B4-BE49-F238E27FC236}">
                  <a16:creationId xmlns:a16="http://schemas.microsoft.com/office/drawing/2014/main" id="{00000000-0008-0000-0700-000049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87</xdr:row>
          <xdr:rowOff>9525</xdr:rowOff>
        </xdr:from>
        <xdr:to>
          <xdr:col>12</xdr:col>
          <xdr:colOff>495300</xdr:colOff>
          <xdr:row>88</xdr:row>
          <xdr:rowOff>0</xdr:rowOff>
        </xdr:to>
        <xdr:sp macro="" textlink="">
          <xdr:nvSpPr>
            <xdr:cNvPr id="16458" name="Option Button 74" hidden="1">
              <a:extLst>
                <a:ext uri="{63B3BB69-23CF-44E3-9099-C40C66FF867C}">
                  <a14:compatExt spid="_x0000_s16458"/>
                </a:ext>
                <a:ext uri="{FF2B5EF4-FFF2-40B4-BE49-F238E27FC236}">
                  <a16:creationId xmlns:a16="http://schemas.microsoft.com/office/drawing/2014/main" id="{00000000-0008-0000-0700-00004A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180975</xdr:colOff>
          <xdr:row>87</xdr:row>
          <xdr:rowOff>9525</xdr:rowOff>
        </xdr:from>
        <xdr:to>
          <xdr:col>13</xdr:col>
          <xdr:colOff>495300</xdr:colOff>
          <xdr:row>88</xdr:row>
          <xdr:rowOff>0</xdr:rowOff>
        </xdr:to>
        <xdr:sp macro="" textlink="">
          <xdr:nvSpPr>
            <xdr:cNvPr id="16459" name="Option Button 75" hidden="1">
              <a:extLst>
                <a:ext uri="{63B3BB69-23CF-44E3-9099-C40C66FF867C}">
                  <a14:compatExt spid="_x0000_s16459"/>
                </a:ext>
                <a:ext uri="{FF2B5EF4-FFF2-40B4-BE49-F238E27FC236}">
                  <a16:creationId xmlns:a16="http://schemas.microsoft.com/office/drawing/2014/main" id="{00000000-0008-0000-0700-00004B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180975</xdr:colOff>
          <xdr:row>87</xdr:row>
          <xdr:rowOff>9525</xdr:rowOff>
        </xdr:from>
        <xdr:to>
          <xdr:col>14</xdr:col>
          <xdr:colOff>495300</xdr:colOff>
          <xdr:row>88</xdr:row>
          <xdr:rowOff>0</xdr:rowOff>
        </xdr:to>
        <xdr:sp macro="" textlink="">
          <xdr:nvSpPr>
            <xdr:cNvPr id="16460" name="Option Button 76" hidden="1">
              <a:extLst>
                <a:ext uri="{63B3BB69-23CF-44E3-9099-C40C66FF867C}">
                  <a14:compatExt spid="_x0000_s16460"/>
                </a:ext>
                <a:ext uri="{FF2B5EF4-FFF2-40B4-BE49-F238E27FC236}">
                  <a16:creationId xmlns:a16="http://schemas.microsoft.com/office/drawing/2014/main" id="{00000000-0008-0000-0700-00004C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180975</xdr:colOff>
          <xdr:row>87</xdr:row>
          <xdr:rowOff>9525</xdr:rowOff>
        </xdr:from>
        <xdr:to>
          <xdr:col>15</xdr:col>
          <xdr:colOff>495300</xdr:colOff>
          <xdr:row>88</xdr:row>
          <xdr:rowOff>0</xdr:rowOff>
        </xdr:to>
        <xdr:sp macro="" textlink="">
          <xdr:nvSpPr>
            <xdr:cNvPr id="16461" name="Option Button 77" hidden="1">
              <a:extLst>
                <a:ext uri="{63B3BB69-23CF-44E3-9099-C40C66FF867C}">
                  <a14:compatExt spid="_x0000_s16461"/>
                </a:ext>
                <a:ext uri="{FF2B5EF4-FFF2-40B4-BE49-F238E27FC236}">
                  <a16:creationId xmlns:a16="http://schemas.microsoft.com/office/drawing/2014/main" id="{00000000-0008-0000-0700-00004D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180975</xdr:colOff>
          <xdr:row>87</xdr:row>
          <xdr:rowOff>9525</xdr:rowOff>
        </xdr:from>
        <xdr:to>
          <xdr:col>16</xdr:col>
          <xdr:colOff>495300</xdr:colOff>
          <xdr:row>88</xdr:row>
          <xdr:rowOff>0</xdr:rowOff>
        </xdr:to>
        <xdr:sp macro="" textlink="">
          <xdr:nvSpPr>
            <xdr:cNvPr id="16462" name="Option Button 78" hidden="1">
              <a:extLst>
                <a:ext uri="{63B3BB69-23CF-44E3-9099-C40C66FF867C}">
                  <a14:compatExt spid="_x0000_s16462"/>
                </a:ext>
                <a:ext uri="{FF2B5EF4-FFF2-40B4-BE49-F238E27FC236}">
                  <a16:creationId xmlns:a16="http://schemas.microsoft.com/office/drawing/2014/main" id="{00000000-0008-0000-0700-00004E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87</xdr:row>
          <xdr:rowOff>190500</xdr:rowOff>
        </xdr:from>
        <xdr:to>
          <xdr:col>17</xdr:col>
          <xdr:colOff>0</xdr:colOff>
          <xdr:row>89</xdr:row>
          <xdr:rowOff>9525</xdr:rowOff>
        </xdr:to>
        <xdr:sp macro="" textlink="">
          <xdr:nvSpPr>
            <xdr:cNvPr id="16463" name="Group Box 79" hidden="1">
              <a:extLst>
                <a:ext uri="{63B3BB69-23CF-44E3-9099-C40C66FF867C}">
                  <a14:compatExt spid="_x0000_s16463"/>
                </a:ext>
                <a:ext uri="{FF2B5EF4-FFF2-40B4-BE49-F238E27FC236}">
                  <a16:creationId xmlns:a16="http://schemas.microsoft.com/office/drawing/2014/main" id="{00000000-0008-0000-0700-00004F4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88</xdr:row>
          <xdr:rowOff>9525</xdr:rowOff>
        </xdr:from>
        <xdr:to>
          <xdr:col>11</xdr:col>
          <xdr:colOff>495300</xdr:colOff>
          <xdr:row>89</xdr:row>
          <xdr:rowOff>0</xdr:rowOff>
        </xdr:to>
        <xdr:sp macro="" textlink="">
          <xdr:nvSpPr>
            <xdr:cNvPr id="16464" name="Option Button 80" hidden="1">
              <a:extLst>
                <a:ext uri="{63B3BB69-23CF-44E3-9099-C40C66FF867C}">
                  <a14:compatExt spid="_x0000_s16464"/>
                </a:ext>
                <a:ext uri="{FF2B5EF4-FFF2-40B4-BE49-F238E27FC236}">
                  <a16:creationId xmlns:a16="http://schemas.microsoft.com/office/drawing/2014/main" id="{00000000-0008-0000-0700-000050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88</xdr:row>
          <xdr:rowOff>9525</xdr:rowOff>
        </xdr:from>
        <xdr:to>
          <xdr:col>12</xdr:col>
          <xdr:colOff>495300</xdr:colOff>
          <xdr:row>89</xdr:row>
          <xdr:rowOff>0</xdr:rowOff>
        </xdr:to>
        <xdr:sp macro="" textlink="">
          <xdr:nvSpPr>
            <xdr:cNvPr id="16465" name="Option Button 81" hidden="1">
              <a:extLst>
                <a:ext uri="{63B3BB69-23CF-44E3-9099-C40C66FF867C}">
                  <a14:compatExt spid="_x0000_s16465"/>
                </a:ext>
                <a:ext uri="{FF2B5EF4-FFF2-40B4-BE49-F238E27FC236}">
                  <a16:creationId xmlns:a16="http://schemas.microsoft.com/office/drawing/2014/main" id="{00000000-0008-0000-0700-00005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180975</xdr:colOff>
          <xdr:row>88</xdr:row>
          <xdr:rowOff>9525</xdr:rowOff>
        </xdr:from>
        <xdr:to>
          <xdr:col>13</xdr:col>
          <xdr:colOff>495300</xdr:colOff>
          <xdr:row>89</xdr:row>
          <xdr:rowOff>0</xdr:rowOff>
        </xdr:to>
        <xdr:sp macro="" textlink="">
          <xdr:nvSpPr>
            <xdr:cNvPr id="16466" name="Option Button 82" hidden="1">
              <a:extLst>
                <a:ext uri="{63B3BB69-23CF-44E3-9099-C40C66FF867C}">
                  <a14:compatExt spid="_x0000_s16466"/>
                </a:ext>
                <a:ext uri="{FF2B5EF4-FFF2-40B4-BE49-F238E27FC236}">
                  <a16:creationId xmlns:a16="http://schemas.microsoft.com/office/drawing/2014/main" id="{00000000-0008-0000-0700-00005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180975</xdr:colOff>
          <xdr:row>88</xdr:row>
          <xdr:rowOff>9525</xdr:rowOff>
        </xdr:from>
        <xdr:to>
          <xdr:col>14</xdr:col>
          <xdr:colOff>495300</xdr:colOff>
          <xdr:row>89</xdr:row>
          <xdr:rowOff>0</xdr:rowOff>
        </xdr:to>
        <xdr:sp macro="" textlink="">
          <xdr:nvSpPr>
            <xdr:cNvPr id="16467" name="Option Button 83" hidden="1">
              <a:extLst>
                <a:ext uri="{63B3BB69-23CF-44E3-9099-C40C66FF867C}">
                  <a14:compatExt spid="_x0000_s16467"/>
                </a:ext>
                <a:ext uri="{FF2B5EF4-FFF2-40B4-BE49-F238E27FC236}">
                  <a16:creationId xmlns:a16="http://schemas.microsoft.com/office/drawing/2014/main" id="{00000000-0008-0000-0700-00005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180975</xdr:colOff>
          <xdr:row>88</xdr:row>
          <xdr:rowOff>9525</xdr:rowOff>
        </xdr:from>
        <xdr:to>
          <xdr:col>15</xdr:col>
          <xdr:colOff>495300</xdr:colOff>
          <xdr:row>89</xdr:row>
          <xdr:rowOff>0</xdr:rowOff>
        </xdr:to>
        <xdr:sp macro="" textlink="">
          <xdr:nvSpPr>
            <xdr:cNvPr id="16468" name="Option Button 84" hidden="1">
              <a:extLst>
                <a:ext uri="{63B3BB69-23CF-44E3-9099-C40C66FF867C}">
                  <a14:compatExt spid="_x0000_s16468"/>
                </a:ext>
                <a:ext uri="{FF2B5EF4-FFF2-40B4-BE49-F238E27FC236}">
                  <a16:creationId xmlns:a16="http://schemas.microsoft.com/office/drawing/2014/main" id="{00000000-0008-0000-0700-00005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180975</xdr:colOff>
          <xdr:row>88</xdr:row>
          <xdr:rowOff>9525</xdr:rowOff>
        </xdr:from>
        <xdr:to>
          <xdr:col>16</xdr:col>
          <xdr:colOff>495300</xdr:colOff>
          <xdr:row>89</xdr:row>
          <xdr:rowOff>0</xdr:rowOff>
        </xdr:to>
        <xdr:sp macro="" textlink="">
          <xdr:nvSpPr>
            <xdr:cNvPr id="16469" name="Option Button 85" hidden="1">
              <a:extLst>
                <a:ext uri="{63B3BB69-23CF-44E3-9099-C40C66FF867C}">
                  <a14:compatExt spid="_x0000_s16469"/>
                </a:ext>
                <a:ext uri="{FF2B5EF4-FFF2-40B4-BE49-F238E27FC236}">
                  <a16:creationId xmlns:a16="http://schemas.microsoft.com/office/drawing/2014/main" id="{00000000-0008-0000-0700-000055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86</xdr:row>
          <xdr:rowOff>190500</xdr:rowOff>
        </xdr:from>
        <xdr:to>
          <xdr:col>17</xdr:col>
          <xdr:colOff>0</xdr:colOff>
          <xdr:row>87</xdr:row>
          <xdr:rowOff>190500</xdr:rowOff>
        </xdr:to>
        <xdr:sp macro="" textlink="">
          <xdr:nvSpPr>
            <xdr:cNvPr id="16470" name="Group Box 86" hidden="1">
              <a:extLst>
                <a:ext uri="{63B3BB69-23CF-44E3-9099-C40C66FF867C}">
                  <a14:compatExt spid="_x0000_s16470"/>
                </a:ext>
                <a:ext uri="{FF2B5EF4-FFF2-40B4-BE49-F238E27FC236}">
                  <a16:creationId xmlns:a16="http://schemas.microsoft.com/office/drawing/2014/main" id="{00000000-0008-0000-0700-0000564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87</xdr:row>
          <xdr:rowOff>9525</xdr:rowOff>
        </xdr:from>
        <xdr:to>
          <xdr:col>11</xdr:col>
          <xdr:colOff>495300</xdr:colOff>
          <xdr:row>88</xdr:row>
          <xdr:rowOff>0</xdr:rowOff>
        </xdr:to>
        <xdr:sp macro="" textlink="">
          <xdr:nvSpPr>
            <xdr:cNvPr id="16471" name="Option Button 87" hidden="1">
              <a:extLst>
                <a:ext uri="{63B3BB69-23CF-44E3-9099-C40C66FF867C}">
                  <a14:compatExt spid="_x0000_s16471"/>
                </a:ext>
                <a:ext uri="{FF2B5EF4-FFF2-40B4-BE49-F238E27FC236}">
                  <a16:creationId xmlns:a16="http://schemas.microsoft.com/office/drawing/2014/main" id="{00000000-0008-0000-0700-000057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87</xdr:row>
          <xdr:rowOff>9525</xdr:rowOff>
        </xdr:from>
        <xdr:to>
          <xdr:col>12</xdr:col>
          <xdr:colOff>495300</xdr:colOff>
          <xdr:row>88</xdr:row>
          <xdr:rowOff>0</xdr:rowOff>
        </xdr:to>
        <xdr:sp macro="" textlink="">
          <xdr:nvSpPr>
            <xdr:cNvPr id="16472" name="Option Button 88" hidden="1">
              <a:extLst>
                <a:ext uri="{63B3BB69-23CF-44E3-9099-C40C66FF867C}">
                  <a14:compatExt spid="_x0000_s16472"/>
                </a:ext>
                <a:ext uri="{FF2B5EF4-FFF2-40B4-BE49-F238E27FC236}">
                  <a16:creationId xmlns:a16="http://schemas.microsoft.com/office/drawing/2014/main" id="{00000000-0008-0000-0700-000058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180975</xdr:colOff>
          <xdr:row>87</xdr:row>
          <xdr:rowOff>9525</xdr:rowOff>
        </xdr:from>
        <xdr:to>
          <xdr:col>13</xdr:col>
          <xdr:colOff>495300</xdr:colOff>
          <xdr:row>88</xdr:row>
          <xdr:rowOff>0</xdr:rowOff>
        </xdr:to>
        <xdr:sp macro="" textlink="">
          <xdr:nvSpPr>
            <xdr:cNvPr id="16473" name="Option Button 89" hidden="1">
              <a:extLst>
                <a:ext uri="{63B3BB69-23CF-44E3-9099-C40C66FF867C}">
                  <a14:compatExt spid="_x0000_s16473"/>
                </a:ext>
                <a:ext uri="{FF2B5EF4-FFF2-40B4-BE49-F238E27FC236}">
                  <a16:creationId xmlns:a16="http://schemas.microsoft.com/office/drawing/2014/main" id="{00000000-0008-0000-0700-000059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180975</xdr:colOff>
          <xdr:row>87</xdr:row>
          <xdr:rowOff>9525</xdr:rowOff>
        </xdr:from>
        <xdr:to>
          <xdr:col>14</xdr:col>
          <xdr:colOff>495300</xdr:colOff>
          <xdr:row>88</xdr:row>
          <xdr:rowOff>0</xdr:rowOff>
        </xdr:to>
        <xdr:sp macro="" textlink="">
          <xdr:nvSpPr>
            <xdr:cNvPr id="16474" name="Option Button 90" hidden="1">
              <a:extLst>
                <a:ext uri="{63B3BB69-23CF-44E3-9099-C40C66FF867C}">
                  <a14:compatExt spid="_x0000_s16474"/>
                </a:ext>
                <a:ext uri="{FF2B5EF4-FFF2-40B4-BE49-F238E27FC236}">
                  <a16:creationId xmlns:a16="http://schemas.microsoft.com/office/drawing/2014/main" id="{00000000-0008-0000-0700-00005A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180975</xdr:colOff>
          <xdr:row>87</xdr:row>
          <xdr:rowOff>9525</xdr:rowOff>
        </xdr:from>
        <xdr:to>
          <xdr:col>15</xdr:col>
          <xdr:colOff>495300</xdr:colOff>
          <xdr:row>88</xdr:row>
          <xdr:rowOff>0</xdr:rowOff>
        </xdr:to>
        <xdr:sp macro="" textlink="">
          <xdr:nvSpPr>
            <xdr:cNvPr id="16475" name="Option Button 91" hidden="1">
              <a:extLst>
                <a:ext uri="{63B3BB69-23CF-44E3-9099-C40C66FF867C}">
                  <a14:compatExt spid="_x0000_s16475"/>
                </a:ext>
                <a:ext uri="{FF2B5EF4-FFF2-40B4-BE49-F238E27FC236}">
                  <a16:creationId xmlns:a16="http://schemas.microsoft.com/office/drawing/2014/main" id="{00000000-0008-0000-0700-00005B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180975</xdr:colOff>
          <xdr:row>87</xdr:row>
          <xdr:rowOff>9525</xdr:rowOff>
        </xdr:from>
        <xdr:to>
          <xdr:col>16</xdr:col>
          <xdr:colOff>495300</xdr:colOff>
          <xdr:row>88</xdr:row>
          <xdr:rowOff>0</xdr:rowOff>
        </xdr:to>
        <xdr:sp macro="" textlink="">
          <xdr:nvSpPr>
            <xdr:cNvPr id="16476" name="Option Button 92" hidden="1">
              <a:extLst>
                <a:ext uri="{63B3BB69-23CF-44E3-9099-C40C66FF867C}">
                  <a14:compatExt spid="_x0000_s16476"/>
                </a:ext>
                <a:ext uri="{FF2B5EF4-FFF2-40B4-BE49-F238E27FC236}">
                  <a16:creationId xmlns:a16="http://schemas.microsoft.com/office/drawing/2014/main" id="{00000000-0008-0000-0700-00005C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87</xdr:row>
          <xdr:rowOff>190500</xdr:rowOff>
        </xdr:from>
        <xdr:to>
          <xdr:col>17</xdr:col>
          <xdr:colOff>0</xdr:colOff>
          <xdr:row>89</xdr:row>
          <xdr:rowOff>0</xdr:rowOff>
        </xdr:to>
        <xdr:sp macro="" textlink="">
          <xdr:nvSpPr>
            <xdr:cNvPr id="16477" name="Group Box 93" hidden="1">
              <a:extLst>
                <a:ext uri="{63B3BB69-23CF-44E3-9099-C40C66FF867C}">
                  <a14:compatExt spid="_x0000_s16477"/>
                </a:ext>
                <a:ext uri="{FF2B5EF4-FFF2-40B4-BE49-F238E27FC236}">
                  <a16:creationId xmlns:a16="http://schemas.microsoft.com/office/drawing/2014/main" id="{00000000-0008-0000-0700-00005D4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88</xdr:row>
          <xdr:rowOff>9525</xdr:rowOff>
        </xdr:from>
        <xdr:to>
          <xdr:col>11</xdr:col>
          <xdr:colOff>495300</xdr:colOff>
          <xdr:row>89</xdr:row>
          <xdr:rowOff>0</xdr:rowOff>
        </xdr:to>
        <xdr:sp macro="" textlink="">
          <xdr:nvSpPr>
            <xdr:cNvPr id="16478" name="Option Button 94" hidden="1">
              <a:extLst>
                <a:ext uri="{63B3BB69-23CF-44E3-9099-C40C66FF867C}">
                  <a14:compatExt spid="_x0000_s16478"/>
                </a:ext>
                <a:ext uri="{FF2B5EF4-FFF2-40B4-BE49-F238E27FC236}">
                  <a16:creationId xmlns:a16="http://schemas.microsoft.com/office/drawing/2014/main" id="{00000000-0008-0000-0700-00005E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88</xdr:row>
          <xdr:rowOff>9525</xdr:rowOff>
        </xdr:from>
        <xdr:to>
          <xdr:col>12</xdr:col>
          <xdr:colOff>495300</xdr:colOff>
          <xdr:row>89</xdr:row>
          <xdr:rowOff>0</xdr:rowOff>
        </xdr:to>
        <xdr:sp macro="" textlink="">
          <xdr:nvSpPr>
            <xdr:cNvPr id="16479" name="Option Button 95" hidden="1">
              <a:extLst>
                <a:ext uri="{63B3BB69-23CF-44E3-9099-C40C66FF867C}">
                  <a14:compatExt spid="_x0000_s16479"/>
                </a:ext>
                <a:ext uri="{FF2B5EF4-FFF2-40B4-BE49-F238E27FC236}">
                  <a16:creationId xmlns:a16="http://schemas.microsoft.com/office/drawing/2014/main" id="{00000000-0008-0000-0700-00005F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180975</xdr:colOff>
          <xdr:row>88</xdr:row>
          <xdr:rowOff>9525</xdr:rowOff>
        </xdr:from>
        <xdr:to>
          <xdr:col>13</xdr:col>
          <xdr:colOff>495300</xdr:colOff>
          <xdr:row>89</xdr:row>
          <xdr:rowOff>0</xdr:rowOff>
        </xdr:to>
        <xdr:sp macro="" textlink="">
          <xdr:nvSpPr>
            <xdr:cNvPr id="16480" name="Option Button 96" hidden="1">
              <a:extLst>
                <a:ext uri="{63B3BB69-23CF-44E3-9099-C40C66FF867C}">
                  <a14:compatExt spid="_x0000_s16480"/>
                </a:ext>
                <a:ext uri="{FF2B5EF4-FFF2-40B4-BE49-F238E27FC236}">
                  <a16:creationId xmlns:a16="http://schemas.microsoft.com/office/drawing/2014/main" id="{00000000-0008-0000-0700-000060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180975</xdr:colOff>
          <xdr:row>88</xdr:row>
          <xdr:rowOff>9525</xdr:rowOff>
        </xdr:from>
        <xdr:to>
          <xdr:col>14</xdr:col>
          <xdr:colOff>495300</xdr:colOff>
          <xdr:row>89</xdr:row>
          <xdr:rowOff>0</xdr:rowOff>
        </xdr:to>
        <xdr:sp macro="" textlink="">
          <xdr:nvSpPr>
            <xdr:cNvPr id="16481" name="Option Button 97" hidden="1">
              <a:extLst>
                <a:ext uri="{63B3BB69-23CF-44E3-9099-C40C66FF867C}">
                  <a14:compatExt spid="_x0000_s16481"/>
                </a:ext>
                <a:ext uri="{FF2B5EF4-FFF2-40B4-BE49-F238E27FC236}">
                  <a16:creationId xmlns:a16="http://schemas.microsoft.com/office/drawing/2014/main" id="{00000000-0008-0000-0700-00006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180975</xdr:colOff>
          <xdr:row>88</xdr:row>
          <xdr:rowOff>9525</xdr:rowOff>
        </xdr:from>
        <xdr:to>
          <xdr:col>15</xdr:col>
          <xdr:colOff>495300</xdr:colOff>
          <xdr:row>89</xdr:row>
          <xdr:rowOff>0</xdr:rowOff>
        </xdr:to>
        <xdr:sp macro="" textlink="">
          <xdr:nvSpPr>
            <xdr:cNvPr id="16482" name="Option Button 98" hidden="1">
              <a:extLst>
                <a:ext uri="{63B3BB69-23CF-44E3-9099-C40C66FF867C}">
                  <a14:compatExt spid="_x0000_s16482"/>
                </a:ext>
                <a:ext uri="{FF2B5EF4-FFF2-40B4-BE49-F238E27FC236}">
                  <a16:creationId xmlns:a16="http://schemas.microsoft.com/office/drawing/2014/main" id="{00000000-0008-0000-0700-00006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180975</xdr:colOff>
          <xdr:row>88</xdr:row>
          <xdr:rowOff>9525</xdr:rowOff>
        </xdr:from>
        <xdr:to>
          <xdr:col>16</xdr:col>
          <xdr:colOff>495300</xdr:colOff>
          <xdr:row>89</xdr:row>
          <xdr:rowOff>0</xdr:rowOff>
        </xdr:to>
        <xdr:sp macro="" textlink="">
          <xdr:nvSpPr>
            <xdr:cNvPr id="16483" name="Option Button 99" hidden="1">
              <a:extLst>
                <a:ext uri="{63B3BB69-23CF-44E3-9099-C40C66FF867C}">
                  <a14:compatExt spid="_x0000_s16483"/>
                </a:ext>
                <a:ext uri="{FF2B5EF4-FFF2-40B4-BE49-F238E27FC236}">
                  <a16:creationId xmlns:a16="http://schemas.microsoft.com/office/drawing/2014/main" id="{00000000-0008-0000-0700-00006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21</xdr:col>
      <xdr:colOff>57150</xdr:colOff>
      <xdr:row>0</xdr:row>
      <xdr:rowOff>57150</xdr:rowOff>
    </xdr:from>
    <xdr:to>
      <xdr:col>30</xdr:col>
      <xdr:colOff>114300</xdr:colOff>
      <xdr:row>46</xdr:row>
      <xdr:rowOff>135681</xdr:rowOff>
    </xdr:to>
    <xdr:pic>
      <xdr:nvPicPr>
        <xdr:cNvPr id="135" name="Picture 134">
          <a:extLst>
            <a:ext uri="{FF2B5EF4-FFF2-40B4-BE49-F238E27FC236}">
              <a16:creationId xmlns:a16="http://schemas.microsoft.com/office/drawing/2014/main" id="{00000000-0008-0000-0700-000087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973050" y="57150"/>
          <a:ext cx="5543550" cy="8698656"/>
        </a:xfrm>
        <a:prstGeom prst="rect">
          <a:avLst/>
        </a:prstGeom>
      </xdr:spPr>
    </xdr:pic>
    <xdr:clientData/>
  </xdr:twoCellAnchor>
  <xdr:twoCellAnchor>
    <xdr:from>
      <xdr:col>21</xdr:col>
      <xdr:colOff>133350</xdr:colOff>
      <xdr:row>5</xdr:row>
      <xdr:rowOff>152400</xdr:rowOff>
    </xdr:from>
    <xdr:to>
      <xdr:col>24</xdr:col>
      <xdr:colOff>57150</xdr:colOff>
      <xdr:row>37</xdr:row>
      <xdr:rowOff>152400</xdr:rowOff>
    </xdr:to>
    <xdr:grpSp>
      <xdr:nvGrpSpPr>
        <xdr:cNvPr id="136" name="Group 135">
          <a:extLst>
            <a:ext uri="{FF2B5EF4-FFF2-40B4-BE49-F238E27FC236}">
              <a16:creationId xmlns:a16="http://schemas.microsoft.com/office/drawing/2014/main" id="{00000000-0008-0000-0700-000088000000}"/>
            </a:ext>
          </a:extLst>
        </xdr:cNvPr>
        <xdr:cNvGrpSpPr/>
      </xdr:nvGrpSpPr>
      <xdr:grpSpPr>
        <a:xfrm>
          <a:off x="13049250" y="1019175"/>
          <a:ext cx="1752600" cy="6038850"/>
          <a:chOff x="5772150" y="990600"/>
          <a:chExt cx="1752600" cy="6038850"/>
        </a:xfrm>
      </xdr:grpSpPr>
      <xdr:sp macro="" textlink="">
        <xdr:nvSpPr>
          <xdr:cNvPr id="137" name="TextBox 136">
            <a:extLst>
              <a:ext uri="{FF2B5EF4-FFF2-40B4-BE49-F238E27FC236}">
                <a16:creationId xmlns:a16="http://schemas.microsoft.com/office/drawing/2014/main" id="{00000000-0008-0000-0700-000089000000}"/>
              </a:ext>
            </a:extLst>
          </xdr:cNvPr>
          <xdr:cNvSpPr txBox="1"/>
        </xdr:nvSpPr>
        <xdr:spPr>
          <a:xfrm>
            <a:off x="5781675" y="5915025"/>
            <a:ext cx="174307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1"/>
              <a:t>Character </a:t>
            </a:r>
            <a:r>
              <a:rPr lang="en-US" sz="1000" b="1" i="1"/>
              <a:t>(Printer</a:t>
            </a:r>
            <a:r>
              <a:rPr lang="en-US" sz="1000" b="1" i="1" baseline="0"/>
              <a:t> Friendly)</a:t>
            </a:r>
            <a:r>
              <a:rPr lang="en-US" sz="1100" b="1" i="1"/>
              <a:t>:</a:t>
            </a:r>
          </a:p>
        </xdr:txBody>
      </xdr:sp>
      <xdr:sp macro="" textlink="">
        <xdr:nvSpPr>
          <xdr:cNvPr id="138" name="TextBox 137">
            <a:extLst>
              <a:ext uri="{FF2B5EF4-FFF2-40B4-BE49-F238E27FC236}">
                <a16:creationId xmlns:a16="http://schemas.microsoft.com/office/drawing/2014/main" id="{00000000-0008-0000-0700-00008A000000}"/>
              </a:ext>
            </a:extLst>
          </xdr:cNvPr>
          <xdr:cNvSpPr txBox="1"/>
        </xdr:nvSpPr>
        <xdr:spPr>
          <a:xfrm>
            <a:off x="5781675" y="4629150"/>
            <a:ext cx="174307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1"/>
              <a:t>Character Building:</a:t>
            </a:r>
          </a:p>
        </xdr:txBody>
      </xdr:sp>
      <xdr:sp macro="" textlink="">
        <xdr:nvSpPr>
          <xdr:cNvPr id="139" name="TextBox 138">
            <a:extLst>
              <a:ext uri="{FF2B5EF4-FFF2-40B4-BE49-F238E27FC236}">
                <a16:creationId xmlns:a16="http://schemas.microsoft.com/office/drawing/2014/main" id="{00000000-0008-0000-0700-00008B000000}"/>
              </a:ext>
            </a:extLst>
          </xdr:cNvPr>
          <xdr:cNvSpPr txBox="1"/>
        </xdr:nvSpPr>
        <xdr:spPr>
          <a:xfrm>
            <a:off x="5772150" y="2590800"/>
            <a:ext cx="174307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1"/>
              <a:t>Character</a:t>
            </a:r>
            <a:r>
              <a:rPr lang="en-US" sz="1100" b="1" i="1" baseline="0"/>
              <a:t> Information</a:t>
            </a:r>
            <a:r>
              <a:rPr lang="en-US" sz="1100" b="1" i="1"/>
              <a:t>:</a:t>
            </a:r>
          </a:p>
        </xdr:txBody>
      </xdr:sp>
      <xdr:sp macro="" textlink="">
        <xdr:nvSpPr>
          <xdr:cNvPr id="140" name="TextBox 139">
            <a:hlinkClick xmlns:r="http://schemas.openxmlformats.org/officeDocument/2006/relationships" r:id="rId2"/>
            <a:extLst>
              <a:ext uri="{FF2B5EF4-FFF2-40B4-BE49-F238E27FC236}">
                <a16:creationId xmlns:a16="http://schemas.microsoft.com/office/drawing/2014/main" id="{00000000-0008-0000-0700-00008C000000}"/>
              </a:ext>
            </a:extLst>
          </xdr:cNvPr>
          <xdr:cNvSpPr txBox="1"/>
        </xdr:nvSpPr>
        <xdr:spPr>
          <a:xfrm>
            <a:off x="5772150" y="2867025"/>
            <a:ext cx="174307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u="sng">
                <a:solidFill>
                  <a:srgbClr val="0594FF"/>
                </a:solidFill>
              </a:rPr>
              <a:t>Character Sheet </a:t>
            </a:r>
            <a:r>
              <a:rPr lang="en-US" sz="1000" b="0" u="sng">
                <a:solidFill>
                  <a:srgbClr val="0594FF"/>
                </a:solidFill>
              </a:rPr>
              <a:t>(main)</a:t>
            </a:r>
          </a:p>
        </xdr:txBody>
      </xdr:sp>
      <xdr:sp macro="" textlink="">
        <xdr:nvSpPr>
          <xdr:cNvPr id="141" name="TextBox 140">
            <a:hlinkClick xmlns:r="http://schemas.openxmlformats.org/officeDocument/2006/relationships" r:id="rId3"/>
            <a:extLst>
              <a:ext uri="{FF2B5EF4-FFF2-40B4-BE49-F238E27FC236}">
                <a16:creationId xmlns:a16="http://schemas.microsoft.com/office/drawing/2014/main" id="{00000000-0008-0000-0700-00008D000000}"/>
              </a:ext>
            </a:extLst>
          </xdr:cNvPr>
          <xdr:cNvSpPr txBox="1"/>
        </xdr:nvSpPr>
        <xdr:spPr>
          <a:xfrm>
            <a:off x="5772150" y="3143250"/>
            <a:ext cx="174307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u="sng">
                <a:solidFill>
                  <a:srgbClr val="0594FF"/>
                </a:solidFill>
              </a:rPr>
              <a:t>Magic &amp; Psionics</a:t>
            </a:r>
          </a:p>
        </xdr:txBody>
      </xdr:sp>
      <xdr:sp macro="" textlink="">
        <xdr:nvSpPr>
          <xdr:cNvPr id="142" name="TextBox 141">
            <a:hlinkClick xmlns:r="http://schemas.openxmlformats.org/officeDocument/2006/relationships" r:id="rId4"/>
            <a:extLst>
              <a:ext uri="{FF2B5EF4-FFF2-40B4-BE49-F238E27FC236}">
                <a16:creationId xmlns:a16="http://schemas.microsoft.com/office/drawing/2014/main" id="{00000000-0008-0000-0700-00008E000000}"/>
              </a:ext>
            </a:extLst>
          </xdr:cNvPr>
          <xdr:cNvSpPr txBox="1"/>
        </xdr:nvSpPr>
        <xdr:spPr>
          <a:xfrm>
            <a:off x="5772150" y="3419475"/>
            <a:ext cx="174307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u="sng">
                <a:solidFill>
                  <a:srgbClr val="0594FF"/>
                </a:solidFill>
              </a:rPr>
              <a:t>Combat Sheet</a:t>
            </a:r>
          </a:p>
        </xdr:txBody>
      </xdr:sp>
      <xdr:sp macro="" textlink="">
        <xdr:nvSpPr>
          <xdr:cNvPr id="143" name="TextBox 142">
            <a:hlinkClick xmlns:r="http://schemas.openxmlformats.org/officeDocument/2006/relationships" r:id="rId5"/>
            <a:extLst>
              <a:ext uri="{FF2B5EF4-FFF2-40B4-BE49-F238E27FC236}">
                <a16:creationId xmlns:a16="http://schemas.microsoft.com/office/drawing/2014/main" id="{00000000-0008-0000-0700-00008F000000}"/>
              </a:ext>
            </a:extLst>
          </xdr:cNvPr>
          <xdr:cNvSpPr txBox="1"/>
        </xdr:nvSpPr>
        <xdr:spPr>
          <a:xfrm>
            <a:off x="5781675" y="4905375"/>
            <a:ext cx="174307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u="sng">
                <a:solidFill>
                  <a:srgbClr val="0594FF"/>
                </a:solidFill>
              </a:rPr>
              <a:t>Worktable </a:t>
            </a:r>
            <a:r>
              <a:rPr lang="en-US" sz="1000" b="0" u="sng">
                <a:solidFill>
                  <a:srgbClr val="0594FF"/>
                </a:solidFill>
              </a:rPr>
              <a:t>(Scratch Paper)</a:t>
            </a:r>
          </a:p>
        </xdr:txBody>
      </xdr:sp>
      <xdr:sp macro="" textlink="">
        <xdr:nvSpPr>
          <xdr:cNvPr id="144" name="TextBox 143">
            <a:hlinkClick xmlns:r="http://schemas.openxmlformats.org/officeDocument/2006/relationships" r:id="rId6"/>
            <a:extLst>
              <a:ext uri="{FF2B5EF4-FFF2-40B4-BE49-F238E27FC236}">
                <a16:creationId xmlns:a16="http://schemas.microsoft.com/office/drawing/2014/main" id="{00000000-0008-0000-0700-000090000000}"/>
              </a:ext>
            </a:extLst>
          </xdr:cNvPr>
          <xdr:cNvSpPr txBox="1"/>
        </xdr:nvSpPr>
        <xdr:spPr>
          <a:xfrm>
            <a:off x="5781675" y="5181600"/>
            <a:ext cx="174307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u="sng">
                <a:solidFill>
                  <a:srgbClr val="0594FF"/>
                </a:solidFill>
              </a:rPr>
              <a:t>Skills Selection</a:t>
            </a:r>
          </a:p>
        </xdr:txBody>
      </xdr:sp>
      <xdr:sp macro="" textlink="">
        <xdr:nvSpPr>
          <xdr:cNvPr id="145" name="TextBox 144">
            <a:hlinkClick xmlns:r="http://schemas.openxmlformats.org/officeDocument/2006/relationships" r:id="rId7"/>
            <a:extLst>
              <a:ext uri="{FF2B5EF4-FFF2-40B4-BE49-F238E27FC236}">
                <a16:creationId xmlns:a16="http://schemas.microsoft.com/office/drawing/2014/main" id="{00000000-0008-0000-0700-000091000000}"/>
              </a:ext>
            </a:extLst>
          </xdr:cNvPr>
          <xdr:cNvSpPr txBox="1"/>
        </xdr:nvSpPr>
        <xdr:spPr>
          <a:xfrm>
            <a:off x="5781675" y="5457825"/>
            <a:ext cx="174307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u="sng">
                <a:solidFill>
                  <a:srgbClr val="0594FF"/>
                </a:solidFill>
              </a:rPr>
              <a:t>Customize</a:t>
            </a:r>
          </a:p>
        </xdr:txBody>
      </xdr:sp>
      <xdr:sp macro="" textlink="">
        <xdr:nvSpPr>
          <xdr:cNvPr id="146" name="TextBox 145">
            <a:hlinkClick xmlns:r="http://schemas.openxmlformats.org/officeDocument/2006/relationships" r:id="rId8"/>
            <a:extLst>
              <a:ext uri="{FF2B5EF4-FFF2-40B4-BE49-F238E27FC236}">
                <a16:creationId xmlns:a16="http://schemas.microsoft.com/office/drawing/2014/main" id="{00000000-0008-0000-0700-000092000000}"/>
              </a:ext>
            </a:extLst>
          </xdr:cNvPr>
          <xdr:cNvSpPr txBox="1"/>
        </xdr:nvSpPr>
        <xdr:spPr>
          <a:xfrm>
            <a:off x="5781675" y="6200775"/>
            <a:ext cx="174307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u="sng">
                <a:solidFill>
                  <a:srgbClr val="0594FF"/>
                </a:solidFill>
              </a:rPr>
              <a:t>Character Sheet </a:t>
            </a:r>
            <a:r>
              <a:rPr lang="en-US" sz="1000" b="0" u="sng">
                <a:solidFill>
                  <a:srgbClr val="0594FF"/>
                </a:solidFill>
              </a:rPr>
              <a:t>(main)</a:t>
            </a:r>
          </a:p>
        </xdr:txBody>
      </xdr:sp>
      <xdr:sp macro="" textlink="">
        <xdr:nvSpPr>
          <xdr:cNvPr id="147" name="TextBox 146">
            <a:hlinkClick xmlns:r="http://schemas.openxmlformats.org/officeDocument/2006/relationships" r:id="rId9"/>
            <a:extLst>
              <a:ext uri="{FF2B5EF4-FFF2-40B4-BE49-F238E27FC236}">
                <a16:creationId xmlns:a16="http://schemas.microsoft.com/office/drawing/2014/main" id="{00000000-0008-0000-0700-000093000000}"/>
              </a:ext>
            </a:extLst>
          </xdr:cNvPr>
          <xdr:cNvSpPr txBox="1"/>
        </xdr:nvSpPr>
        <xdr:spPr>
          <a:xfrm>
            <a:off x="5781675" y="6486525"/>
            <a:ext cx="174307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u="sng">
                <a:solidFill>
                  <a:srgbClr val="0594FF"/>
                </a:solidFill>
              </a:rPr>
              <a:t>Magic &amp; Psionics</a:t>
            </a:r>
          </a:p>
        </xdr:txBody>
      </xdr:sp>
      <xdr:sp macro="" textlink="">
        <xdr:nvSpPr>
          <xdr:cNvPr id="148" name="TextBox 147">
            <a:hlinkClick xmlns:r="http://schemas.openxmlformats.org/officeDocument/2006/relationships" r:id="rId10"/>
            <a:extLst>
              <a:ext uri="{FF2B5EF4-FFF2-40B4-BE49-F238E27FC236}">
                <a16:creationId xmlns:a16="http://schemas.microsoft.com/office/drawing/2014/main" id="{00000000-0008-0000-0700-000094000000}"/>
              </a:ext>
            </a:extLst>
          </xdr:cNvPr>
          <xdr:cNvSpPr txBox="1"/>
        </xdr:nvSpPr>
        <xdr:spPr>
          <a:xfrm>
            <a:off x="5781675" y="6772275"/>
            <a:ext cx="174307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u="sng">
                <a:solidFill>
                  <a:srgbClr val="0594FF"/>
                </a:solidFill>
              </a:rPr>
              <a:t>Combat Sheet</a:t>
            </a:r>
          </a:p>
        </xdr:txBody>
      </xdr:sp>
      <xdr:sp macro="" textlink="">
        <xdr:nvSpPr>
          <xdr:cNvPr id="149" name="TextBox 148">
            <a:extLst>
              <a:ext uri="{FF2B5EF4-FFF2-40B4-BE49-F238E27FC236}">
                <a16:creationId xmlns:a16="http://schemas.microsoft.com/office/drawing/2014/main" id="{00000000-0008-0000-0700-000095000000}"/>
              </a:ext>
            </a:extLst>
          </xdr:cNvPr>
          <xdr:cNvSpPr txBox="1"/>
        </xdr:nvSpPr>
        <xdr:spPr>
          <a:xfrm>
            <a:off x="5781675" y="990600"/>
            <a:ext cx="174307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1"/>
              <a:t>Introduction:</a:t>
            </a:r>
          </a:p>
        </xdr:txBody>
      </xdr:sp>
      <xdr:sp macro="" textlink="">
        <xdr:nvSpPr>
          <xdr:cNvPr id="150" name="TextBox 149">
            <a:hlinkClick xmlns:r="http://schemas.openxmlformats.org/officeDocument/2006/relationships" r:id="rId11"/>
            <a:extLst>
              <a:ext uri="{FF2B5EF4-FFF2-40B4-BE49-F238E27FC236}">
                <a16:creationId xmlns:a16="http://schemas.microsoft.com/office/drawing/2014/main" id="{00000000-0008-0000-0700-000096000000}"/>
              </a:ext>
            </a:extLst>
          </xdr:cNvPr>
          <xdr:cNvSpPr txBox="1"/>
        </xdr:nvSpPr>
        <xdr:spPr>
          <a:xfrm>
            <a:off x="5781675" y="1266825"/>
            <a:ext cx="174307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u="sng">
                <a:solidFill>
                  <a:srgbClr val="0594FF"/>
                </a:solidFill>
              </a:rPr>
              <a:t>Cover Page</a:t>
            </a:r>
          </a:p>
        </xdr:txBody>
      </xdr:sp>
      <xdr:sp macro="" textlink="">
        <xdr:nvSpPr>
          <xdr:cNvPr id="151" name="TextBox 150">
            <a:hlinkClick xmlns:r="http://schemas.openxmlformats.org/officeDocument/2006/relationships" r:id="rId12"/>
            <a:extLst>
              <a:ext uri="{FF2B5EF4-FFF2-40B4-BE49-F238E27FC236}">
                <a16:creationId xmlns:a16="http://schemas.microsoft.com/office/drawing/2014/main" id="{00000000-0008-0000-0700-000097000000}"/>
              </a:ext>
            </a:extLst>
          </xdr:cNvPr>
          <xdr:cNvSpPr txBox="1"/>
        </xdr:nvSpPr>
        <xdr:spPr>
          <a:xfrm>
            <a:off x="5781675" y="1543050"/>
            <a:ext cx="174307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u="sng">
                <a:solidFill>
                  <a:srgbClr val="0594FF"/>
                </a:solidFill>
              </a:rPr>
              <a:t>Instructions</a:t>
            </a:r>
          </a:p>
        </xdr:txBody>
      </xdr:sp>
      <xdr:sp macro="" textlink="">
        <xdr:nvSpPr>
          <xdr:cNvPr id="152" name="TextBox 151">
            <a:hlinkClick xmlns:r="http://schemas.openxmlformats.org/officeDocument/2006/relationships" r:id="rId13"/>
            <a:extLst>
              <a:ext uri="{FF2B5EF4-FFF2-40B4-BE49-F238E27FC236}">
                <a16:creationId xmlns:a16="http://schemas.microsoft.com/office/drawing/2014/main" id="{00000000-0008-0000-0700-000098000000}"/>
              </a:ext>
            </a:extLst>
          </xdr:cNvPr>
          <xdr:cNvSpPr txBox="1"/>
        </xdr:nvSpPr>
        <xdr:spPr>
          <a:xfrm>
            <a:off x="5781675" y="1819275"/>
            <a:ext cx="174307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u="sng">
                <a:solidFill>
                  <a:srgbClr val="0594FF"/>
                </a:solidFill>
              </a:rPr>
              <a:t>Legal Information</a:t>
            </a:r>
          </a:p>
        </xdr:txBody>
      </xdr:sp>
      <xdr:sp macro="" textlink="">
        <xdr:nvSpPr>
          <xdr:cNvPr id="153" name="TextBox 152">
            <a:hlinkClick xmlns:r="http://schemas.openxmlformats.org/officeDocument/2006/relationships" r:id="rId14"/>
            <a:extLst>
              <a:ext uri="{FF2B5EF4-FFF2-40B4-BE49-F238E27FC236}">
                <a16:creationId xmlns:a16="http://schemas.microsoft.com/office/drawing/2014/main" id="{00000000-0008-0000-0700-000099000000}"/>
              </a:ext>
            </a:extLst>
          </xdr:cNvPr>
          <xdr:cNvSpPr txBox="1"/>
        </xdr:nvSpPr>
        <xdr:spPr>
          <a:xfrm>
            <a:off x="5781675" y="2095500"/>
            <a:ext cx="174307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u="sng">
                <a:solidFill>
                  <a:srgbClr val="0594FF"/>
                </a:solidFill>
              </a:rPr>
              <a:t>Editor's Notes</a:t>
            </a:r>
          </a:p>
        </xdr:txBody>
      </xdr:sp>
    </xdr:grpSp>
    <xdr:clientData/>
  </xdr:twoCellAnchor>
</xdr:wsDr>
</file>

<file path=xl/drawings/drawing9.xml><?xml version="1.0" encoding="utf-8"?>
<xdr:wsDr xmlns:xdr="http://schemas.openxmlformats.org/drawingml/2006/spreadsheetDrawing" xmlns:a="http://schemas.openxmlformats.org/drawingml/2006/main">
  <xdr:twoCellAnchor editAs="oneCell">
    <xdr:from>
      <xdr:col>10</xdr:col>
      <xdr:colOff>47624</xdr:colOff>
      <xdr:row>0</xdr:row>
      <xdr:rowOff>28575</xdr:rowOff>
    </xdr:from>
    <xdr:to>
      <xdr:col>18</xdr:col>
      <xdr:colOff>590549</xdr:colOff>
      <xdr:row>42</xdr:row>
      <xdr:rowOff>122356</xdr:rowOff>
    </xdr:to>
    <xdr:pic>
      <xdr:nvPicPr>
        <xdr:cNvPr id="2" name="Picture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677149" y="390525"/>
          <a:ext cx="5419725" cy="8504356"/>
        </a:xfrm>
        <a:prstGeom prst="rect">
          <a:avLst/>
        </a:prstGeom>
      </xdr:spPr>
    </xdr:pic>
    <xdr:clientData/>
  </xdr:twoCellAnchor>
  <xdr:twoCellAnchor>
    <xdr:from>
      <xdr:col>10</xdr:col>
      <xdr:colOff>104775</xdr:colOff>
      <xdr:row>5</xdr:row>
      <xdr:rowOff>28575</xdr:rowOff>
    </xdr:from>
    <xdr:to>
      <xdr:col>13</xdr:col>
      <xdr:colOff>28575</xdr:colOff>
      <xdr:row>36</xdr:row>
      <xdr:rowOff>161925</xdr:rowOff>
    </xdr:to>
    <xdr:grpSp>
      <xdr:nvGrpSpPr>
        <xdr:cNvPr id="3" name="Group 2">
          <a:extLst>
            <a:ext uri="{FF2B5EF4-FFF2-40B4-BE49-F238E27FC236}">
              <a16:creationId xmlns:a16="http://schemas.microsoft.com/office/drawing/2014/main" id="{00000000-0008-0000-0800-000003000000}"/>
            </a:ext>
          </a:extLst>
        </xdr:cNvPr>
        <xdr:cNvGrpSpPr/>
      </xdr:nvGrpSpPr>
      <xdr:grpSpPr>
        <a:xfrm>
          <a:off x="5562600" y="1076325"/>
          <a:ext cx="1752600" cy="6353175"/>
          <a:chOff x="5772150" y="990600"/>
          <a:chExt cx="1752600" cy="6038850"/>
        </a:xfrm>
      </xdr:grpSpPr>
      <xdr:sp macro="" textlink="">
        <xdr:nvSpPr>
          <xdr:cNvPr id="4" name="TextBox 3">
            <a:extLst>
              <a:ext uri="{FF2B5EF4-FFF2-40B4-BE49-F238E27FC236}">
                <a16:creationId xmlns:a16="http://schemas.microsoft.com/office/drawing/2014/main" id="{00000000-0008-0000-0800-000004000000}"/>
              </a:ext>
            </a:extLst>
          </xdr:cNvPr>
          <xdr:cNvSpPr txBox="1"/>
        </xdr:nvSpPr>
        <xdr:spPr>
          <a:xfrm>
            <a:off x="5781675" y="5915025"/>
            <a:ext cx="174307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1"/>
              <a:t>Character </a:t>
            </a:r>
            <a:r>
              <a:rPr lang="en-US" sz="1000" b="1" i="1"/>
              <a:t>(Printer</a:t>
            </a:r>
            <a:r>
              <a:rPr lang="en-US" sz="1000" b="1" i="1" baseline="0"/>
              <a:t> Friendly)</a:t>
            </a:r>
            <a:r>
              <a:rPr lang="en-US" sz="1100" b="1" i="1"/>
              <a:t>:</a:t>
            </a:r>
          </a:p>
        </xdr:txBody>
      </xdr:sp>
      <xdr:sp macro="" textlink="">
        <xdr:nvSpPr>
          <xdr:cNvPr id="5" name="TextBox 4">
            <a:extLst>
              <a:ext uri="{FF2B5EF4-FFF2-40B4-BE49-F238E27FC236}">
                <a16:creationId xmlns:a16="http://schemas.microsoft.com/office/drawing/2014/main" id="{00000000-0008-0000-0800-000005000000}"/>
              </a:ext>
            </a:extLst>
          </xdr:cNvPr>
          <xdr:cNvSpPr txBox="1"/>
        </xdr:nvSpPr>
        <xdr:spPr>
          <a:xfrm>
            <a:off x="5781675" y="4629150"/>
            <a:ext cx="174307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1"/>
              <a:t>Character Building:</a:t>
            </a:r>
          </a:p>
        </xdr:txBody>
      </xdr:sp>
      <xdr:sp macro="" textlink="">
        <xdr:nvSpPr>
          <xdr:cNvPr id="6" name="TextBox 5">
            <a:extLst>
              <a:ext uri="{FF2B5EF4-FFF2-40B4-BE49-F238E27FC236}">
                <a16:creationId xmlns:a16="http://schemas.microsoft.com/office/drawing/2014/main" id="{00000000-0008-0000-0800-000006000000}"/>
              </a:ext>
            </a:extLst>
          </xdr:cNvPr>
          <xdr:cNvSpPr txBox="1"/>
        </xdr:nvSpPr>
        <xdr:spPr>
          <a:xfrm>
            <a:off x="5772150" y="2590800"/>
            <a:ext cx="174307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1"/>
              <a:t>Character</a:t>
            </a:r>
            <a:r>
              <a:rPr lang="en-US" sz="1100" b="1" i="1" baseline="0"/>
              <a:t> Information</a:t>
            </a:r>
            <a:r>
              <a:rPr lang="en-US" sz="1100" b="1" i="1"/>
              <a:t>:</a:t>
            </a:r>
          </a:p>
        </xdr:txBody>
      </xdr:sp>
      <xdr:sp macro="" textlink="">
        <xdr:nvSpPr>
          <xdr:cNvPr id="7" name="TextBox 6">
            <a:hlinkClick xmlns:r="http://schemas.openxmlformats.org/officeDocument/2006/relationships" r:id="rId2"/>
            <a:extLst>
              <a:ext uri="{FF2B5EF4-FFF2-40B4-BE49-F238E27FC236}">
                <a16:creationId xmlns:a16="http://schemas.microsoft.com/office/drawing/2014/main" id="{00000000-0008-0000-0800-000007000000}"/>
              </a:ext>
            </a:extLst>
          </xdr:cNvPr>
          <xdr:cNvSpPr txBox="1"/>
        </xdr:nvSpPr>
        <xdr:spPr>
          <a:xfrm>
            <a:off x="5772150" y="2867025"/>
            <a:ext cx="174307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u="sng">
                <a:solidFill>
                  <a:srgbClr val="0594FF"/>
                </a:solidFill>
              </a:rPr>
              <a:t>Character Sheet </a:t>
            </a:r>
            <a:r>
              <a:rPr lang="en-US" sz="1000" b="0" u="sng">
                <a:solidFill>
                  <a:srgbClr val="0594FF"/>
                </a:solidFill>
              </a:rPr>
              <a:t>(main)</a:t>
            </a:r>
          </a:p>
        </xdr:txBody>
      </xdr:sp>
      <xdr:sp macro="" textlink="">
        <xdr:nvSpPr>
          <xdr:cNvPr id="8" name="TextBox 7">
            <a:hlinkClick xmlns:r="http://schemas.openxmlformats.org/officeDocument/2006/relationships" r:id="rId3"/>
            <a:extLst>
              <a:ext uri="{FF2B5EF4-FFF2-40B4-BE49-F238E27FC236}">
                <a16:creationId xmlns:a16="http://schemas.microsoft.com/office/drawing/2014/main" id="{00000000-0008-0000-0800-000008000000}"/>
              </a:ext>
            </a:extLst>
          </xdr:cNvPr>
          <xdr:cNvSpPr txBox="1"/>
        </xdr:nvSpPr>
        <xdr:spPr>
          <a:xfrm>
            <a:off x="5772150" y="3143250"/>
            <a:ext cx="174307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u="sng">
                <a:solidFill>
                  <a:srgbClr val="0594FF"/>
                </a:solidFill>
              </a:rPr>
              <a:t>Magic &amp; Psionics</a:t>
            </a:r>
          </a:p>
        </xdr:txBody>
      </xdr:sp>
      <xdr:sp macro="" textlink="">
        <xdr:nvSpPr>
          <xdr:cNvPr id="9" name="TextBox 8">
            <a:hlinkClick xmlns:r="http://schemas.openxmlformats.org/officeDocument/2006/relationships" r:id="rId4"/>
            <a:extLst>
              <a:ext uri="{FF2B5EF4-FFF2-40B4-BE49-F238E27FC236}">
                <a16:creationId xmlns:a16="http://schemas.microsoft.com/office/drawing/2014/main" id="{00000000-0008-0000-0800-000009000000}"/>
              </a:ext>
            </a:extLst>
          </xdr:cNvPr>
          <xdr:cNvSpPr txBox="1"/>
        </xdr:nvSpPr>
        <xdr:spPr>
          <a:xfrm>
            <a:off x="5772150" y="3419475"/>
            <a:ext cx="174307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u="sng">
                <a:solidFill>
                  <a:srgbClr val="0594FF"/>
                </a:solidFill>
              </a:rPr>
              <a:t>Combat Sheet</a:t>
            </a:r>
          </a:p>
        </xdr:txBody>
      </xdr:sp>
      <xdr:sp macro="" textlink="">
        <xdr:nvSpPr>
          <xdr:cNvPr id="10" name="TextBox 9">
            <a:hlinkClick xmlns:r="http://schemas.openxmlformats.org/officeDocument/2006/relationships" r:id="rId5"/>
            <a:extLst>
              <a:ext uri="{FF2B5EF4-FFF2-40B4-BE49-F238E27FC236}">
                <a16:creationId xmlns:a16="http://schemas.microsoft.com/office/drawing/2014/main" id="{00000000-0008-0000-0800-00000A000000}"/>
              </a:ext>
            </a:extLst>
          </xdr:cNvPr>
          <xdr:cNvSpPr txBox="1"/>
        </xdr:nvSpPr>
        <xdr:spPr>
          <a:xfrm>
            <a:off x="5781675" y="4905375"/>
            <a:ext cx="174307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u="sng">
                <a:solidFill>
                  <a:srgbClr val="0594FF"/>
                </a:solidFill>
              </a:rPr>
              <a:t>Worktable </a:t>
            </a:r>
            <a:r>
              <a:rPr lang="en-US" sz="1000" b="0" u="sng">
                <a:solidFill>
                  <a:srgbClr val="0594FF"/>
                </a:solidFill>
              </a:rPr>
              <a:t>(Scratch Paper)</a:t>
            </a:r>
          </a:p>
        </xdr:txBody>
      </xdr:sp>
      <xdr:sp macro="" textlink="">
        <xdr:nvSpPr>
          <xdr:cNvPr id="11" name="TextBox 10">
            <a:hlinkClick xmlns:r="http://schemas.openxmlformats.org/officeDocument/2006/relationships" r:id="rId6"/>
            <a:extLst>
              <a:ext uri="{FF2B5EF4-FFF2-40B4-BE49-F238E27FC236}">
                <a16:creationId xmlns:a16="http://schemas.microsoft.com/office/drawing/2014/main" id="{00000000-0008-0000-0800-00000B000000}"/>
              </a:ext>
            </a:extLst>
          </xdr:cNvPr>
          <xdr:cNvSpPr txBox="1"/>
        </xdr:nvSpPr>
        <xdr:spPr>
          <a:xfrm>
            <a:off x="5781675" y="5181600"/>
            <a:ext cx="174307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u="sng">
                <a:solidFill>
                  <a:srgbClr val="0594FF"/>
                </a:solidFill>
              </a:rPr>
              <a:t>Skills Selection</a:t>
            </a:r>
          </a:p>
        </xdr:txBody>
      </xdr:sp>
      <xdr:sp macro="" textlink="">
        <xdr:nvSpPr>
          <xdr:cNvPr id="12" name="TextBox 11">
            <a:hlinkClick xmlns:r="http://schemas.openxmlformats.org/officeDocument/2006/relationships" r:id="rId7"/>
            <a:extLst>
              <a:ext uri="{FF2B5EF4-FFF2-40B4-BE49-F238E27FC236}">
                <a16:creationId xmlns:a16="http://schemas.microsoft.com/office/drawing/2014/main" id="{00000000-0008-0000-0800-00000C000000}"/>
              </a:ext>
            </a:extLst>
          </xdr:cNvPr>
          <xdr:cNvSpPr txBox="1"/>
        </xdr:nvSpPr>
        <xdr:spPr>
          <a:xfrm>
            <a:off x="5781675" y="5457825"/>
            <a:ext cx="174307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u="sng">
                <a:solidFill>
                  <a:srgbClr val="0594FF"/>
                </a:solidFill>
              </a:rPr>
              <a:t>Customize</a:t>
            </a:r>
          </a:p>
        </xdr:txBody>
      </xdr:sp>
      <xdr:sp macro="" textlink="">
        <xdr:nvSpPr>
          <xdr:cNvPr id="13" name="TextBox 12">
            <a:hlinkClick xmlns:r="http://schemas.openxmlformats.org/officeDocument/2006/relationships" r:id="rId8"/>
            <a:extLst>
              <a:ext uri="{FF2B5EF4-FFF2-40B4-BE49-F238E27FC236}">
                <a16:creationId xmlns:a16="http://schemas.microsoft.com/office/drawing/2014/main" id="{00000000-0008-0000-0800-00000D000000}"/>
              </a:ext>
            </a:extLst>
          </xdr:cNvPr>
          <xdr:cNvSpPr txBox="1"/>
        </xdr:nvSpPr>
        <xdr:spPr>
          <a:xfrm>
            <a:off x="5781675" y="6200775"/>
            <a:ext cx="174307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u="sng">
                <a:solidFill>
                  <a:srgbClr val="0594FF"/>
                </a:solidFill>
              </a:rPr>
              <a:t>Character Sheet </a:t>
            </a:r>
            <a:r>
              <a:rPr lang="en-US" sz="1000" b="0" u="sng">
                <a:solidFill>
                  <a:srgbClr val="0594FF"/>
                </a:solidFill>
              </a:rPr>
              <a:t>(main)</a:t>
            </a:r>
          </a:p>
        </xdr:txBody>
      </xdr:sp>
      <xdr:sp macro="" textlink="">
        <xdr:nvSpPr>
          <xdr:cNvPr id="14" name="TextBox 13">
            <a:hlinkClick xmlns:r="http://schemas.openxmlformats.org/officeDocument/2006/relationships" r:id="rId9"/>
            <a:extLst>
              <a:ext uri="{FF2B5EF4-FFF2-40B4-BE49-F238E27FC236}">
                <a16:creationId xmlns:a16="http://schemas.microsoft.com/office/drawing/2014/main" id="{00000000-0008-0000-0800-00000E000000}"/>
              </a:ext>
            </a:extLst>
          </xdr:cNvPr>
          <xdr:cNvSpPr txBox="1"/>
        </xdr:nvSpPr>
        <xdr:spPr>
          <a:xfrm>
            <a:off x="5781675" y="6486525"/>
            <a:ext cx="174307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u="sng">
                <a:solidFill>
                  <a:srgbClr val="0594FF"/>
                </a:solidFill>
              </a:rPr>
              <a:t>Magic &amp; Psionics</a:t>
            </a:r>
          </a:p>
        </xdr:txBody>
      </xdr:sp>
      <xdr:sp macro="" textlink="">
        <xdr:nvSpPr>
          <xdr:cNvPr id="15" name="TextBox 14">
            <a:hlinkClick xmlns:r="http://schemas.openxmlformats.org/officeDocument/2006/relationships" r:id="rId10"/>
            <a:extLst>
              <a:ext uri="{FF2B5EF4-FFF2-40B4-BE49-F238E27FC236}">
                <a16:creationId xmlns:a16="http://schemas.microsoft.com/office/drawing/2014/main" id="{00000000-0008-0000-0800-00000F000000}"/>
              </a:ext>
            </a:extLst>
          </xdr:cNvPr>
          <xdr:cNvSpPr txBox="1"/>
        </xdr:nvSpPr>
        <xdr:spPr>
          <a:xfrm>
            <a:off x="5781675" y="6772275"/>
            <a:ext cx="174307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u="sng">
                <a:solidFill>
                  <a:srgbClr val="0594FF"/>
                </a:solidFill>
              </a:rPr>
              <a:t>Combat Sheet</a:t>
            </a:r>
          </a:p>
        </xdr:txBody>
      </xdr:sp>
      <xdr:sp macro="" textlink="">
        <xdr:nvSpPr>
          <xdr:cNvPr id="16" name="TextBox 15">
            <a:extLst>
              <a:ext uri="{FF2B5EF4-FFF2-40B4-BE49-F238E27FC236}">
                <a16:creationId xmlns:a16="http://schemas.microsoft.com/office/drawing/2014/main" id="{00000000-0008-0000-0800-000010000000}"/>
              </a:ext>
            </a:extLst>
          </xdr:cNvPr>
          <xdr:cNvSpPr txBox="1"/>
        </xdr:nvSpPr>
        <xdr:spPr>
          <a:xfrm>
            <a:off x="5781675" y="990600"/>
            <a:ext cx="174307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1"/>
              <a:t>Introduction:</a:t>
            </a:r>
          </a:p>
        </xdr:txBody>
      </xdr:sp>
      <xdr:sp macro="" textlink="">
        <xdr:nvSpPr>
          <xdr:cNvPr id="17" name="TextBox 16">
            <a:hlinkClick xmlns:r="http://schemas.openxmlformats.org/officeDocument/2006/relationships" r:id="rId11"/>
            <a:extLst>
              <a:ext uri="{FF2B5EF4-FFF2-40B4-BE49-F238E27FC236}">
                <a16:creationId xmlns:a16="http://schemas.microsoft.com/office/drawing/2014/main" id="{00000000-0008-0000-0800-000011000000}"/>
              </a:ext>
            </a:extLst>
          </xdr:cNvPr>
          <xdr:cNvSpPr txBox="1"/>
        </xdr:nvSpPr>
        <xdr:spPr>
          <a:xfrm>
            <a:off x="5781675" y="1266825"/>
            <a:ext cx="174307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u="sng">
                <a:solidFill>
                  <a:srgbClr val="0594FF"/>
                </a:solidFill>
              </a:rPr>
              <a:t>Cover Page</a:t>
            </a:r>
          </a:p>
        </xdr:txBody>
      </xdr:sp>
      <xdr:sp macro="" textlink="">
        <xdr:nvSpPr>
          <xdr:cNvPr id="18" name="TextBox 17">
            <a:hlinkClick xmlns:r="http://schemas.openxmlformats.org/officeDocument/2006/relationships" r:id="rId12"/>
            <a:extLst>
              <a:ext uri="{FF2B5EF4-FFF2-40B4-BE49-F238E27FC236}">
                <a16:creationId xmlns:a16="http://schemas.microsoft.com/office/drawing/2014/main" id="{00000000-0008-0000-0800-000012000000}"/>
              </a:ext>
            </a:extLst>
          </xdr:cNvPr>
          <xdr:cNvSpPr txBox="1"/>
        </xdr:nvSpPr>
        <xdr:spPr>
          <a:xfrm>
            <a:off x="5781675" y="1543050"/>
            <a:ext cx="174307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u="sng">
                <a:solidFill>
                  <a:srgbClr val="0594FF"/>
                </a:solidFill>
              </a:rPr>
              <a:t>Instructions</a:t>
            </a:r>
          </a:p>
        </xdr:txBody>
      </xdr:sp>
      <xdr:sp macro="" textlink="">
        <xdr:nvSpPr>
          <xdr:cNvPr id="19" name="TextBox 18">
            <a:hlinkClick xmlns:r="http://schemas.openxmlformats.org/officeDocument/2006/relationships" r:id="rId13"/>
            <a:extLst>
              <a:ext uri="{FF2B5EF4-FFF2-40B4-BE49-F238E27FC236}">
                <a16:creationId xmlns:a16="http://schemas.microsoft.com/office/drawing/2014/main" id="{00000000-0008-0000-0800-000013000000}"/>
              </a:ext>
            </a:extLst>
          </xdr:cNvPr>
          <xdr:cNvSpPr txBox="1"/>
        </xdr:nvSpPr>
        <xdr:spPr>
          <a:xfrm>
            <a:off x="5781675" y="1819275"/>
            <a:ext cx="174307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u="sng">
                <a:solidFill>
                  <a:srgbClr val="0594FF"/>
                </a:solidFill>
              </a:rPr>
              <a:t>Legal Information</a:t>
            </a:r>
          </a:p>
        </xdr:txBody>
      </xdr:sp>
      <xdr:sp macro="" textlink="">
        <xdr:nvSpPr>
          <xdr:cNvPr id="20" name="TextBox 19">
            <a:hlinkClick xmlns:r="http://schemas.openxmlformats.org/officeDocument/2006/relationships" r:id="rId14"/>
            <a:extLst>
              <a:ext uri="{FF2B5EF4-FFF2-40B4-BE49-F238E27FC236}">
                <a16:creationId xmlns:a16="http://schemas.microsoft.com/office/drawing/2014/main" id="{00000000-0008-0000-0800-000014000000}"/>
              </a:ext>
            </a:extLst>
          </xdr:cNvPr>
          <xdr:cNvSpPr txBox="1"/>
        </xdr:nvSpPr>
        <xdr:spPr>
          <a:xfrm>
            <a:off x="5781675" y="2095500"/>
            <a:ext cx="174307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u="sng">
                <a:solidFill>
                  <a:srgbClr val="0594FF"/>
                </a:solidFill>
              </a:rPr>
              <a:t>Editor's Notes</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F%20NPC%20Shee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NPC Sheet"/>
      <sheetName val="Primary Worksheet"/>
      <sheetName val="Combat Sheet"/>
      <sheetName val="Race Sheet"/>
      <sheetName val="OCC Sheet"/>
      <sheetName val="Skill Sheet"/>
      <sheetName val="C1-WT"/>
      <sheetName val="C1-SWT"/>
      <sheetName val="C2-WT"/>
      <sheetName val="C2-SWT"/>
      <sheetName val="C3-WT"/>
      <sheetName val="C3-SWT"/>
      <sheetName val="Editor's Notes"/>
      <sheetName val="Combat"/>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8" Type="http://schemas.openxmlformats.org/officeDocument/2006/relationships/ctrlProp" Target="../ctrlProps/ctrlProp148.xml"/><Relationship Id="rId13" Type="http://schemas.openxmlformats.org/officeDocument/2006/relationships/ctrlProp" Target="../ctrlProps/ctrlProp153.xml"/><Relationship Id="rId18" Type="http://schemas.openxmlformats.org/officeDocument/2006/relationships/ctrlProp" Target="../ctrlProps/ctrlProp158.xml"/><Relationship Id="rId26" Type="http://schemas.openxmlformats.org/officeDocument/2006/relationships/ctrlProp" Target="../ctrlProps/ctrlProp166.xml"/><Relationship Id="rId39" Type="http://schemas.openxmlformats.org/officeDocument/2006/relationships/ctrlProp" Target="../ctrlProps/ctrlProp179.xml"/><Relationship Id="rId3" Type="http://schemas.openxmlformats.org/officeDocument/2006/relationships/vmlDrawing" Target="../drawings/vmlDrawing3.vml"/><Relationship Id="rId21" Type="http://schemas.openxmlformats.org/officeDocument/2006/relationships/ctrlProp" Target="../ctrlProps/ctrlProp161.xml"/><Relationship Id="rId34" Type="http://schemas.openxmlformats.org/officeDocument/2006/relationships/ctrlProp" Target="../ctrlProps/ctrlProp174.xml"/><Relationship Id="rId42" Type="http://schemas.openxmlformats.org/officeDocument/2006/relationships/ctrlProp" Target="../ctrlProps/ctrlProp182.xml"/><Relationship Id="rId47" Type="http://schemas.openxmlformats.org/officeDocument/2006/relationships/ctrlProp" Target="../ctrlProps/ctrlProp187.xml"/><Relationship Id="rId7" Type="http://schemas.openxmlformats.org/officeDocument/2006/relationships/ctrlProp" Target="../ctrlProps/ctrlProp147.xml"/><Relationship Id="rId12" Type="http://schemas.openxmlformats.org/officeDocument/2006/relationships/ctrlProp" Target="../ctrlProps/ctrlProp152.xml"/><Relationship Id="rId17" Type="http://schemas.openxmlformats.org/officeDocument/2006/relationships/ctrlProp" Target="../ctrlProps/ctrlProp157.xml"/><Relationship Id="rId25" Type="http://schemas.openxmlformats.org/officeDocument/2006/relationships/ctrlProp" Target="../ctrlProps/ctrlProp165.xml"/><Relationship Id="rId33" Type="http://schemas.openxmlformats.org/officeDocument/2006/relationships/ctrlProp" Target="../ctrlProps/ctrlProp173.xml"/><Relationship Id="rId38" Type="http://schemas.openxmlformats.org/officeDocument/2006/relationships/ctrlProp" Target="../ctrlProps/ctrlProp178.xml"/><Relationship Id="rId46" Type="http://schemas.openxmlformats.org/officeDocument/2006/relationships/ctrlProp" Target="../ctrlProps/ctrlProp186.xml"/><Relationship Id="rId2" Type="http://schemas.openxmlformats.org/officeDocument/2006/relationships/drawing" Target="../drawings/drawing13.xml"/><Relationship Id="rId16" Type="http://schemas.openxmlformats.org/officeDocument/2006/relationships/ctrlProp" Target="../ctrlProps/ctrlProp156.xml"/><Relationship Id="rId20" Type="http://schemas.openxmlformats.org/officeDocument/2006/relationships/ctrlProp" Target="../ctrlProps/ctrlProp160.xml"/><Relationship Id="rId29" Type="http://schemas.openxmlformats.org/officeDocument/2006/relationships/ctrlProp" Target="../ctrlProps/ctrlProp169.xml"/><Relationship Id="rId41" Type="http://schemas.openxmlformats.org/officeDocument/2006/relationships/ctrlProp" Target="../ctrlProps/ctrlProp181.xml"/><Relationship Id="rId1" Type="http://schemas.openxmlformats.org/officeDocument/2006/relationships/printerSettings" Target="../printerSettings/printerSettings13.bin"/><Relationship Id="rId6" Type="http://schemas.openxmlformats.org/officeDocument/2006/relationships/ctrlProp" Target="../ctrlProps/ctrlProp146.xml"/><Relationship Id="rId11" Type="http://schemas.openxmlformats.org/officeDocument/2006/relationships/ctrlProp" Target="../ctrlProps/ctrlProp151.xml"/><Relationship Id="rId24" Type="http://schemas.openxmlformats.org/officeDocument/2006/relationships/ctrlProp" Target="../ctrlProps/ctrlProp164.xml"/><Relationship Id="rId32" Type="http://schemas.openxmlformats.org/officeDocument/2006/relationships/ctrlProp" Target="../ctrlProps/ctrlProp172.xml"/><Relationship Id="rId37" Type="http://schemas.openxmlformats.org/officeDocument/2006/relationships/ctrlProp" Target="../ctrlProps/ctrlProp177.xml"/><Relationship Id="rId40" Type="http://schemas.openxmlformats.org/officeDocument/2006/relationships/ctrlProp" Target="../ctrlProps/ctrlProp180.xml"/><Relationship Id="rId45" Type="http://schemas.openxmlformats.org/officeDocument/2006/relationships/ctrlProp" Target="../ctrlProps/ctrlProp185.xml"/><Relationship Id="rId5" Type="http://schemas.openxmlformats.org/officeDocument/2006/relationships/ctrlProp" Target="../ctrlProps/ctrlProp145.xml"/><Relationship Id="rId15" Type="http://schemas.openxmlformats.org/officeDocument/2006/relationships/ctrlProp" Target="../ctrlProps/ctrlProp155.xml"/><Relationship Id="rId23" Type="http://schemas.openxmlformats.org/officeDocument/2006/relationships/ctrlProp" Target="../ctrlProps/ctrlProp163.xml"/><Relationship Id="rId28" Type="http://schemas.openxmlformats.org/officeDocument/2006/relationships/ctrlProp" Target="../ctrlProps/ctrlProp168.xml"/><Relationship Id="rId36" Type="http://schemas.openxmlformats.org/officeDocument/2006/relationships/ctrlProp" Target="../ctrlProps/ctrlProp176.xml"/><Relationship Id="rId10" Type="http://schemas.openxmlformats.org/officeDocument/2006/relationships/ctrlProp" Target="../ctrlProps/ctrlProp150.xml"/><Relationship Id="rId19" Type="http://schemas.openxmlformats.org/officeDocument/2006/relationships/ctrlProp" Target="../ctrlProps/ctrlProp159.xml"/><Relationship Id="rId31" Type="http://schemas.openxmlformats.org/officeDocument/2006/relationships/ctrlProp" Target="../ctrlProps/ctrlProp171.xml"/><Relationship Id="rId44" Type="http://schemas.openxmlformats.org/officeDocument/2006/relationships/ctrlProp" Target="../ctrlProps/ctrlProp184.xml"/><Relationship Id="rId4" Type="http://schemas.openxmlformats.org/officeDocument/2006/relationships/ctrlProp" Target="../ctrlProps/ctrlProp144.xml"/><Relationship Id="rId9" Type="http://schemas.openxmlformats.org/officeDocument/2006/relationships/ctrlProp" Target="../ctrlProps/ctrlProp149.xml"/><Relationship Id="rId14" Type="http://schemas.openxmlformats.org/officeDocument/2006/relationships/ctrlProp" Target="../ctrlProps/ctrlProp154.xml"/><Relationship Id="rId22" Type="http://schemas.openxmlformats.org/officeDocument/2006/relationships/ctrlProp" Target="../ctrlProps/ctrlProp162.xml"/><Relationship Id="rId27" Type="http://schemas.openxmlformats.org/officeDocument/2006/relationships/ctrlProp" Target="../ctrlProps/ctrlProp167.xml"/><Relationship Id="rId30" Type="http://schemas.openxmlformats.org/officeDocument/2006/relationships/ctrlProp" Target="../ctrlProps/ctrlProp170.xml"/><Relationship Id="rId35" Type="http://schemas.openxmlformats.org/officeDocument/2006/relationships/ctrlProp" Target="../ctrlProps/ctrlProp175.xml"/><Relationship Id="rId43" Type="http://schemas.openxmlformats.org/officeDocument/2006/relationships/ctrlProp" Target="../ctrlProps/ctrlProp183.xml"/><Relationship Id="rId48" Type="http://schemas.openxmlformats.org/officeDocument/2006/relationships/ctrlProp" Target="../ctrlProps/ctrlProp188.xm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 Type="http://schemas.openxmlformats.org/officeDocument/2006/relationships/drawing" Target="../drawings/drawing7.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7.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s>
</file>

<file path=xl/worksheets/_rels/sheet8.xml.rels><?xml version="1.0" encoding="UTF-8" standalone="yes"?>
<Relationships xmlns="http://schemas.openxmlformats.org/package/2006/relationships"><Relationship Id="rId26" Type="http://schemas.openxmlformats.org/officeDocument/2006/relationships/ctrlProp" Target="../ctrlProps/ctrlProp68.xml"/><Relationship Id="rId21" Type="http://schemas.openxmlformats.org/officeDocument/2006/relationships/ctrlProp" Target="../ctrlProps/ctrlProp63.xml"/><Relationship Id="rId34" Type="http://schemas.openxmlformats.org/officeDocument/2006/relationships/ctrlProp" Target="../ctrlProps/ctrlProp76.xml"/><Relationship Id="rId42" Type="http://schemas.openxmlformats.org/officeDocument/2006/relationships/ctrlProp" Target="../ctrlProps/ctrlProp84.xml"/><Relationship Id="rId47" Type="http://schemas.openxmlformats.org/officeDocument/2006/relationships/ctrlProp" Target="../ctrlProps/ctrlProp89.xml"/><Relationship Id="rId50" Type="http://schemas.openxmlformats.org/officeDocument/2006/relationships/ctrlProp" Target="../ctrlProps/ctrlProp92.xml"/><Relationship Id="rId55" Type="http://schemas.openxmlformats.org/officeDocument/2006/relationships/ctrlProp" Target="../ctrlProps/ctrlProp97.xml"/><Relationship Id="rId63" Type="http://schemas.openxmlformats.org/officeDocument/2006/relationships/ctrlProp" Target="../ctrlProps/ctrlProp105.xml"/><Relationship Id="rId68" Type="http://schemas.openxmlformats.org/officeDocument/2006/relationships/ctrlProp" Target="../ctrlProps/ctrlProp110.xml"/><Relationship Id="rId76" Type="http://schemas.openxmlformats.org/officeDocument/2006/relationships/ctrlProp" Target="../ctrlProps/ctrlProp118.xml"/><Relationship Id="rId84" Type="http://schemas.openxmlformats.org/officeDocument/2006/relationships/ctrlProp" Target="../ctrlProps/ctrlProp126.xml"/><Relationship Id="rId89" Type="http://schemas.openxmlformats.org/officeDocument/2006/relationships/ctrlProp" Target="../ctrlProps/ctrlProp131.xml"/><Relationship Id="rId97" Type="http://schemas.openxmlformats.org/officeDocument/2006/relationships/ctrlProp" Target="../ctrlProps/ctrlProp139.xml"/><Relationship Id="rId7" Type="http://schemas.openxmlformats.org/officeDocument/2006/relationships/ctrlProp" Target="../ctrlProps/ctrlProp49.xml"/><Relationship Id="rId71" Type="http://schemas.openxmlformats.org/officeDocument/2006/relationships/ctrlProp" Target="../ctrlProps/ctrlProp113.xml"/><Relationship Id="rId92" Type="http://schemas.openxmlformats.org/officeDocument/2006/relationships/ctrlProp" Target="../ctrlProps/ctrlProp134.xml"/><Relationship Id="rId2" Type="http://schemas.openxmlformats.org/officeDocument/2006/relationships/drawing" Target="../drawings/drawing8.xml"/><Relationship Id="rId16" Type="http://schemas.openxmlformats.org/officeDocument/2006/relationships/ctrlProp" Target="../ctrlProps/ctrlProp58.xml"/><Relationship Id="rId29" Type="http://schemas.openxmlformats.org/officeDocument/2006/relationships/ctrlProp" Target="../ctrlProps/ctrlProp71.xml"/><Relationship Id="rId11" Type="http://schemas.openxmlformats.org/officeDocument/2006/relationships/ctrlProp" Target="../ctrlProps/ctrlProp53.xml"/><Relationship Id="rId24" Type="http://schemas.openxmlformats.org/officeDocument/2006/relationships/ctrlProp" Target="../ctrlProps/ctrlProp66.xml"/><Relationship Id="rId32" Type="http://schemas.openxmlformats.org/officeDocument/2006/relationships/ctrlProp" Target="../ctrlProps/ctrlProp74.xml"/><Relationship Id="rId37" Type="http://schemas.openxmlformats.org/officeDocument/2006/relationships/ctrlProp" Target="../ctrlProps/ctrlProp79.xml"/><Relationship Id="rId40" Type="http://schemas.openxmlformats.org/officeDocument/2006/relationships/ctrlProp" Target="../ctrlProps/ctrlProp82.xml"/><Relationship Id="rId45" Type="http://schemas.openxmlformats.org/officeDocument/2006/relationships/ctrlProp" Target="../ctrlProps/ctrlProp87.xml"/><Relationship Id="rId53" Type="http://schemas.openxmlformats.org/officeDocument/2006/relationships/ctrlProp" Target="../ctrlProps/ctrlProp95.xml"/><Relationship Id="rId58" Type="http://schemas.openxmlformats.org/officeDocument/2006/relationships/ctrlProp" Target="../ctrlProps/ctrlProp100.xml"/><Relationship Id="rId66" Type="http://schemas.openxmlformats.org/officeDocument/2006/relationships/ctrlProp" Target="../ctrlProps/ctrlProp108.xml"/><Relationship Id="rId74" Type="http://schemas.openxmlformats.org/officeDocument/2006/relationships/ctrlProp" Target="../ctrlProps/ctrlProp116.xml"/><Relationship Id="rId79" Type="http://schemas.openxmlformats.org/officeDocument/2006/relationships/ctrlProp" Target="../ctrlProps/ctrlProp121.xml"/><Relationship Id="rId87" Type="http://schemas.openxmlformats.org/officeDocument/2006/relationships/ctrlProp" Target="../ctrlProps/ctrlProp129.xml"/><Relationship Id="rId5" Type="http://schemas.openxmlformats.org/officeDocument/2006/relationships/ctrlProp" Target="../ctrlProps/ctrlProp47.xml"/><Relationship Id="rId61" Type="http://schemas.openxmlformats.org/officeDocument/2006/relationships/ctrlProp" Target="../ctrlProps/ctrlProp103.xml"/><Relationship Id="rId82" Type="http://schemas.openxmlformats.org/officeDocument/2006/relationships/ctrlProp" Target="../ctrlProps/ctrlProp124.xml"/><Relationship Id="rId90" Type="http://schemas.openxmlformats.org/officeDocument/2006/relationships/ctrlProp" Target="../ctrlProps/ctrlProp132.xml"/><Relationship Id="rId95" Type="http://schemas.openxmlformats.org/officeDocument/2006/relationships/ctrlProp" Target="../ctrlProps/ctrlProp137.xml"/><Relationship Id="rId19" Type="http://schemas.openxmlformats.org/officeDocument/2006/relationships/ctrlProp" Target="../ctrlProps/ctrlProp61.xml"/><Relationship Id="rId14" Type="http://schemas.openxmlformats.org/officeDocument/2006/relationships/ctrlProp" Target="../ctrlProps/ctrlProp56.xml"/><Relationship Id="rId22" Type="http://schemas.openxmlformats.org/officeDocument/2006/relationships/ctrlProp" Target="../ctrlProps/ctrlProp64.xml"/><Relationship Id="rId27" Type="http://schemas.openxmlformats.org/officeDocument/2006/relationships/ctrlProp" Target="../ctrlProps/ctrlProp69.xml"/><Relationship Id="rId30" Type="http://schemas.openxmlformats.org/officeDocument/2006/relationships/ctrlProp" Target="../ctrlProps/ctrlProp72.xml"/><Relationship Id="rId35" Type="http://schemas.openxmlformats.org/officeDocument/2006/relationships/ctrlProp" Target="../ctrlProps/ctrlProp77.xml"/><Relationship Id="rId43" Type="http://schemas.openxmlformats.org/officeDocument/2006/relationships/ctrlProp" Target="../ctrlProps/ctrlProp85.xml"/><Relationship Id="rId48" Type="http://schemas.openxmlformats.org/officeDocument/2006/relationships/ctrlProp" Target="../ctrlProps/ctrlProp90.xml"/><Relationship Id="rId56" Type="http://schemas.openxmlformats.org/officeDocument/2006/relationships/ctrlProp" Target="../ctrlProps/ctrlProp98.xml"/><Relationship Id="rId64" Type="http://schemas.openxmlformats.org/officeDocument/2006/relationships/ctrlProp" Target="../ctrlProps/ctrlProp106.xml"/><Relationship Id="rId69" Type="http://schemas.openxmlformats.org/officeDocument/2006/relationships/ctrlProp" Target="../ctrlProps/ctrlProp111.xml"/><Relationship Id="rId77" Type="http://schemas.openxmlformats.org/officeDocument/2006/relationships/ctrlProp" Target="../ctrlProps/ctrlProp119.xml"/><Relationship Id="rId100" Type="http://schemas.openxmlformats.org/officeDocument/2006/relationships/ctrlProp" Target="../ctrlProps/ctrlProp142.xml"/><Relationship Id="rId8" Type="http://schemas.openxmlformats.org/officeDocument/2006/relationships/ctrlProp" Target="../ctrlProps/ctrlProp50.xml"/><Relationship Id="rId51" Type="http://schemas.openxmlformats.org/officeDocument/2006/relationships/ctrlProp" Target="../ctrlProps/ctrlProp93.xml"/><Relationship Id="rId72" Type="http://schemas.openxmlformats.org/officeDocument/2006/relationships/ctrlProp" Target="../ctrlProps/ctrlProp114.xml"/><Relationship Id="rId80" Type="http://schemas.openxmlformats.org/officeDocument/2006/relationships/ctrlProp" Target="../ctrlProps/ctrlProp122.xml"/><Relationship Id="rId85" Type="http://schemas.openxmlformats.org/officeDocument/2006/relationships/ctrlProp" Target="../ctrlProps/ctrlProp127.xml"/><Relationship Id="rId93" Type="http://schemas.openxmlformats.org/officeDocument/2006/relationships/ctrlProp" Target="../ctrlProps/ctrlProp135.xml"/><Relationship Id="rId98" Type="http://schemas.openxmlformats.org/officeDocument/2006/relationships/ctrlProp" Target="../ctrlProps/ctrlProp140.xml"/><Relationship Id="rId3" Type="http://schemas.openxmlformats.org/officeDocument/2006/relationships/vmlDrawing" Target="../drawings/vmlDrawing2.vml"/><Relationship Id="rId12" Type="http://schemas.openxmlformats.org/officeDocument/2006/relationships/ctrlProp" Target="../ctrlProps/ctrlProp54.xml"/><Relationship Id="rId17" Type="http://schemas.openxmlformats.org/officeDocument/2006/relationships/ctrlProp" Target="../ctrlProps/ctrlProp59.xml"/><Relationship Id="rId25" Type="http://schemas.openxmlformats.org/officeDocument/2006/relationships/ctrlProp" Target="../ctrlProps/ctrlProp67.xml"/><Relationship Id="rId33" Type="http://schemas.openxmlformats.org/officeDocument/2006/relationships/ctrlProp" Target="../ctrlProps/ctrlProp75.xml"/><Relationship Id="rId38" Type="http://schemas.openxmlformats.org/officeDocument/2006/relationships/ctrlProp" Target="../ctrlProps/ctrlProp80.xml"/><Relationship Id="rId46" Type="http://schemas.openxmlformats.org/officeDocument/2006/relationships/ctrlProp" Target="../ctrlProps/ctrlProp88.xml"/><Relationship Id="rId59" Type="http://schemas.openxmlformats.org/officeDocument/2006/relationships/ctrlProp" Target="../ctrlProps/ctrlProp101.xml"/><Relationship Id="rId67" Type="http://schemas.openxmlformats.org/officeDocument/2006/relationships/ctrlProp" Target="../ctrlProps/ctrlProp109.xml"/><Relationship Id="rId20" Type="http://schemas.openxmlformats.org/officeDocument/2006/relationships/ctrlProp" Target="../ctrlProps/ctrlProp62.xml"/><Relationship Id="rId41" Type="http://schemas.openxmlformats.org/officeDocument/2006/relationships/ctrlProp" Target="../ctrlProps/ctrlProp83.xml"/><Relationship Id="rId54" Type="http://schemas.openxmlformats.org/officeDocument/2006/relationships/ctrlProp" Target="../ctrlProps/ctrlProp96.xml"/><Relationship Id="rId62" Type="http://schemas.openxmlformats.org/officeDocument/2006/relationships/ctrlProp" Target="../ctrlProps/ctrlProp104.xml"/><Relationship Id="rId70" Type="http://schemas.openxmlformats.org/officeDocument/2006/relationships/ctrlProp" Target="../ctrlProps/ctrlProp112.xml"/><Relationship Id="rId75" Type="http://schemas.openxmlformats.org/officeDocument/2006/relationships/ctrlProp" Target="../ctrlProps/ctrlProp117.xml"/><Relationship Id="rId83" Type="http://schemas.openxmlformats.org/officeDocument/2006/relationships/ctrlProp" Target="../ctrlProps/ctrlProp125.xml"/><Relationship Id="rId88" Type="http://schemas.openxmlformats.org/officeDocument/2006/relationships/ctrlProp" Target="../ctrlProps/ctrlProp130.xml"/><Relationship Id="rId91" Type="http://schemas.openxmlformats.org/officeDocument/2006/relationships/ctrlProp" Target="../ctrlProps/ctrlProp133.xml"/><Relationship Id="rId96" Type="http://schemas.openxmlformats.org/officeDocument/2006/relationships/ctrlProp" Target="../ctrlProps/ctrlProp138.xml"/><Relationship Id="rId1" Type="http://schemas.openxmlformats.org/officeDocument/2006/relationships/printerSettings" Target="../printerSettings/printerSettings8.bin"/><Relationship Id="rId6" Type="http://schemas.openxmlformats.org/officeDocument/2006/relationships/ctrlProp" Target="../ctrlProps/ctrlProp48.xml"/><Relationship Id="rId15" Type="http://schemas.openxmlformats.org/officeDocument/2006/relationships/ctrlProp" Target="../ctrlProps/ctrlProp57.xml"/><Relationship Id="rId23" Type="http://schemas.openxmlformats.org/officeDocument/2006/relationships/ctrlProp" Target="../ctrlProps/ctrlProp65.xml"/><Relationship Id="rId28" Type="http://schemas.openxmlformats.org/officeDocument/2006/relationships/ctrlProp" Target="../ctrlProps/ctrlProp70.xml"/><Relationship Id="rId36" Type="http://schemas.openxmlformats.org/officeDocument/2006/relationships/ctrlProp" Target="../ctrlProps/ctrlProp78.xml"/><Relationship Id="rId49" Type="http://schemas.openxmlformats.org/officeDocument/2006/relationships/ctrlProp" Target="../ctrlProps/ctrlProp91.xml"/><Relationship Id="rId57" Type="http://schemas.openxmlformats.org/officeDocument/2006/relationships/ctrlProp" Target="../ctrlProps/ctrlProp99.xml"/><Relationship Id="rId10" Type="http://schemas.openxmlformats.org/officeDocument/2006/relationships/ctrlProp" Target="../ctrlProps/ctrlProp52.xml"/><Relationship Id="rId31" Type="http://schemas.openxmlformats.org/officeDocument/2006/relationships/ctrlProp" Target="../ctrlProps/ctrlProp73.xml"/><Relationship Id="rId44" Type="http://schemas.openxmlformats.org/officeDocument/2006/relationships/ctrlProp" Target="../ctrlProps/ctrlProp86.xml"/><Relationship Id="rId52" Type="http://schemas.openxmlformats.org/officeDocument/2006/relationships/ctrlProp" Target="../ctrlProps/ctrlProp94.xml"/><Relationship Id="rId60" Type="http://schemas.openxmlformats.org/officeDocument/2006/relationships/ctrlProp" Target="../ctrlProps/ctrlProp102.xml"/><Relationship Id="rId65" Type="http://schemas.openxmlformats.org/officeDocument/2006/relationships/ctrlProp" Target="../ctrlProps/ctrlProp107.xml"/><Relationship Id="rId73" Type="http://schemas.openxmlformats.org/officeDocument/2006/relationships/ctrlProp" Target="../ctrlProps/ctrlProp115.xml"/><Relationship Id="rId78" Type="http://schemas.openxmlformats.org/officeDocument/2006/relationships/ctrlProp" Target="../ctrlProps/ctrlProp120.xml"/><Relationship Id="rId81" Type="http://schemas.openxmlformats.org/officeDocument/2006/relationships/ctrlProp" Target="../ctrlProps/ctrlProp123.xml"/><Relationship Id="rId86" Type="http://schemas.openxmlformats.org/officeDocument/2006/relationships/ctrlProp" Target="../ctrlProps/ctrlProp128.xml"/><Relationship Id="rId94" Type="http://schemas.openxmlformats.org/officeDocument/2006/relationships/ctrlProp" Target="../ctrlProps/ctrlProp136.xml"/><Relationship Id="rId99" Type="http://schemas.openxmlformats.org/officeDocument/2006/relationships/ctrlProp" Target="../ctrlProps/ctrlProp141.xml"/><Relationship Id="rId101" Type="http://schemas.openxmlformats.org/officeDocument/2006/relationships/ctrlProp" Target="../ctrlProps/ctrlProp143.xml"/><Relationship Id="rId4" Type="http://schemas.openxmlformats.org/officeDocument/2006/relationships/ctrlProp" Target="../ctrlProps/ctrlProp46.xml"/><Relationship Id="rId9" Type="http://schemas.openxmlformats.org/officeDocument/2006/relationships/ctrlProp" Target="../ctrlProps/ctrlProp51.xml"/><Relationship Id="rId13" Type="http://schemas.openxmlformats.org/officeDocument/2006/relationships/ctrlProp" Target="../ctrlProps/ctrlProp55.xml"/><Relationship Id="rId18" Type="http://schemas.openxmlformats.org/officeDocument/2006/relationships/ctrlProp" Target="../ctrlProps/ctrlProp60.xml"/><Relationship Id="rId39" Type="http://schemas.openxmlformats.org/officeDocument/2006/relationships/ctrlProp" Target="../ctrlProps/ctrlProp81.xml"/></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http://www.prysus.com/" TargetMode="External"/><Relationship Id="rId1" Type="http://schemas.openxmlformats.org/officeDocument/2006/relationships/hyperlink" Target="http://www.palladiumbooks.com/" TargetMode="External"/><Relationship Id="rId4"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008CFE-2BBD-47F0-A9FB-39819E2F7FF1}">
  <sheetPr>
    <tabColor theme="1"/>
  </sheetPr>
  <dimension ref="A1:I18"/>
  <sheetViews>
    <sheetView tabSelected="1" topLeftCell="A2" zoomScaleNormal="100" workbookViewId="0">
      <selection activeCell="H13" sqref="H13"/>
    </sheetView>
  </sheetViews>
  <sheetFormatPr defaultRowHeight="15" x14ac:dyDescent="0.25"/>
  <sheetData>
    <row r="1" spans="1:9" ht="52.5" customHeight="1" x14ac:dyDescent="0.9">
      <c r="A1" s="509"/>
      <c r="B1" s="509"/>
      <c r="C1" s="509"/>
      <c r="D1" s="509"/>
      <c r="E1" s="509"/>
      <c r="F1" s="512"/>
      <c r="G1" s="509"/>
      <c r="H1" s="509"/>
      <c r="I1" s="509"/>
    </row>
    <row r="2" spans="1:9" ht="30" customHeight="1" x14ac:dyDescent="0.45">
      <c r="A2" s="631"/>
      <c r="B2" s="631"/>
      <c r="C2" s="511"/>
      <c r="D2" s="511"/>
      <c r="E2" s="511"/>
      <c r="F2" s="511"/>
      <c r="G2" s="511"/>
      <c r="H2" s="511"/>
      <c r="I2" s="511"/>
    </row>
    <row r="3" spans="1:9" ht="59.25" x14ac:dyDescent="0.25">
      <c r="A3" s="633" t="s">
        <v>758</v>
      </c>
      <c r="B3" s="633"/>
      <c r="C3" s="633"/>
      <c r="D3" s="633"/>
      <c r="E3" s="633"/>
      <c r="F3" s="633"/>
      <c r="G3" s="633"/>
      <c r="H3" s="633"/>
      <c r="I3" s="633"/>
    </row>
    <row r="4" spans="1:9" ht="59.25" x14ac:dyDescent="0.25">
      <c r="A4" s="633" t="s">
        <v>757</v>
      </c>
      <c r="B4" s="633"/>
      <c r="C4" s="633"/>
      <c r="D4" s="633"/>
      <c r="E4" s="633"/>
      <c r="F4" s="633"/>
      <c r="G4" s="633"/>
      <c r="H4" s="633"/>
      <c r="I4" s="633"/>
    </row>
    <row r="5" spans="1:9" ht="81.75" x14ac:dyDescent="0.25">
      <c r="A5" s="632"/>
      <c r="B5" s="632"/>
      <c r="C5" s="632"/>
      <c r="D5" s="632"/>
      <c r="E5" s="632"/>
      <c r="F5" s="632"/>
      <c r="G5" s="632"/>
      <c r="H5" s="632"/>
      <c r="I5" s="632"/>
    </row>
    <row r="6" spans="1:9" ht="81.75" x14ac:dyDescent="0.25">
      <c r="A6" s="510"/>
      <c r="B6" s="509"/>
      <c r="C6" s="509"/>
      <c r="D6" s="509"/>
      <c r="E6" s="509"/>
      <c r="F6" s="509"/>
      <c r="G6" s="509"/>
      <c r="H6" s="509"/>
      <c r="I6" s="509"/>
    </row>
    <row r="7" spans="1:9" ht="81.75" x14ac:dyDescent="0.25">
      <c r="A7" s="632"/>
      <c r="B7" s="632"/>
      <c r="C7" s="632"/>
      <c r="D7" s="632"/>
      <c r="E7" s="632"/>
      <c r="F7" s="632"/>
      <c r="G7" s="632"/>
      <c r="H7" s="632"/>
      <c r="I7" s="632"/>
    </row>
    <row r="8" spans="1:9" ht="59.25" x14ac:dyDescent="0.25">
      <c r="A8" s="633" t="s">
        <v>756</v>
      </c>
      <c r="B8" s="633"/>
      <c r="C8" s="633"/>
      <c r="D8" s="633"/>
      <c r="E8" s="633"/>
      <c r="F8" s="633"/>
      <c r="G8" s="633"/>
      <c r="H8" s="633"/>
      <c r="I8" s="633"/>
    </row>
    <row r="9" spans="1:9" ht="59.25" x14ac:dyDescent="0.25">
      <c r="A9" s="633" t="s">
        <v>755</v>
      </c>
      <c r="B9" s="633"/>
      <c r="C9" s="633"/>
      <c r="D9" s="633"/>
      <c r="E9" s="633"/>
      <c r="F9" s="633"/>
      <c r="G9" s="633"/>
      <c r="H9" s="633"/>
      <c r="I9" s="633"/>
    </row>
    <row r="10" spans="1:9" x14ac:dyDescent="0.25">
      <c r="A10" s="509"/>
      <c r="B10" s="509"/>
      <c r="C10" s="509"/>
      <c r="D10" s="509"/>
      <c r="E10" s="509"/>
      <c r="F10" s="509"/>
      <c r="G10" s="509"/>
      <c r="H10" s="509"/>
      <c r="I10" s="509"/>
    </row>
    <row r="11" spans="1:9" x14ac:dyDescent="0.25">
      <c r="A11" s="509"/>
      <c r="B11" s="509"/>
      <c r="C11" s="509"/>
      <c r="D11" s="509"/>
      <c r="E11" s="509"/>
      <c r="F11" s="509"/>
      <c r="G11" s="509"/>
      <c r="H11" s="509"/>
      <c r="I11" s="509"/>
    </row>
    <row r="12" spans="1:9" x14ac:dyDescent="0.25">
      <c r="A12" s="509"/>
      <c r="B12" s="509"/>
      <c r="C12" s="509"/>
      <c r="D12" s="509"/>
      <c r="E12" s="509"/>
      <c r="F12" s="509"/>
      <c r="G12" s="509"/>
      <c r="H12" s="509"/>
      <c r="I12" s="509"/>
    </row>
    <row r="13" spans="1:9" x14ac:dyDescent="0.25">
      <c r="A13" s="509"/>
      <c r="B13" s="509"/>
      <c r="C13" s="509"/>
      <c r="D13" s="509"/>
      <c r="E13" s="509"/>
      <c r="F13" s="509"/>
      <c r="G13" s="509"/>
      <c r="H13" s="509"/>
      <c r="I13" s="509"/>
    </row>
    <row r="14" spans="1:9" x14ac:dyDescent="0.25">
      <c r="A14" s="509"/>
      <c r="B14" s="509"/>
      <c r="C14" s="509"/>
      <c r="D14" s="509"/>
      <c r="E14" s="509"/>
      <c r="F14" s="509"/>
      <c r="G14" s="509"/>
      <c r="H14" s="509"/>
      <c r="I14" s="509"/>
    </row>
    <row r="15" spans="1:9" x14ac:dyDescent="0.25">
      <c r="A15" s="509"/>
      <c r="B15" s="509"/>
      <c r="C15" s="509"/>
      <c r="D15" s="509"/>
      <c r="E15" s="509"/>
      <c r="F15" s="509"/>
      <c r="G15" s="509"/>
      <c r="H15" s="509"/>
      <c r="I15" s="509"/>
    </row>
    <row r="16" spans="1:9" x14ac:dyDescent="0.25">
      <c r="A16" s="509"/>
      <c r="B16" s="509"/>
      <c r="C16" s="509"/>
      <c r="D16" s="509"/>
      <c r="E16" s="509"/>
      <c r="F16" s="509"/>
      <c r="G16" s="509"/>
      <c r="H16" s="509"/>
      <c r="I16" s="509"/>
    </row>
    <row r="17" spans="1:9" x14ac:dyDescent="0.25">
      <c r="A17" s="509"/>
      <c r="B17" s="509"/>
      <c r="C17" s="509"/>
      <c r="D17" s="509"/>
      <c r="E17" s="509"/>
      <c r="F17" s="509"/>
      <c r="G17" s="509"/>
      <c r="H17" s="509"/>
      <c r="I17" s="509"/>
    </row>
    <row r="18" spans="1:9" ht="17.25" x14ac:dyDescent="0.3">
      <c r="A18" s="509"/>
      <c r="B18" s="509"/>
      <c r="C18" s="509"/>
      <c r="D18" s="509"/>
      <c r="E18" s="509"/>
      <c r="F18" s="509"/>
      <c r="G18" s="620" t="s">
        <v>763</v>
      </c>
      <c r="H18" s="621"/>
      <c r="I18" s="621"/>
    </row>
  </sheetData>
  <sheetProtection algorithmName="SHA-512" hashValue="vV1u7tqqBMoLe1P/XaKxTJr85SvHGYxFSYg0oVeCbf4EpJlTyGExVU6A2emZpwGU6N2arYtGRkD1Ym2r+pYvaA==" saltValue="E4l4G22o3uTIWfU7QqAeEw==" spinCount="100000" sheet="1" objects="1" scenarios="1" selectLockedCells="1" selectUnlockedCells="1"/>
  <mergeCells count="7">
    <mergeCell ref="A2:B2"/>
    <mergeCell ref="A7:I7"/>
    <mergeCell ref="A8:I8"/>
    <mergeCell ref="A9:I9"/>
    <mergeCell ref="A3:I3"/>
    <mergeCell ref="A4:I4"/>
    <mergeCell ref="A5:I5"/>
  </mergeCells>
  <pageMargins left="0.7" right="0.7" top="0.75" bottom="0.75" header="0.3" footer="0.3"/>
  <pageSetup orientation="portrait" horizontalDpi="4294967293" verticalDpi="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9">
    <tabColor theme="8" tint="0.39997558519241921"/>
  </sheetPr>
  <dimension ref="A1:I52"/>
  <sheetViews>
    <sheetView showGridLines="0" zoomScaleNormal="100" workbookViewId="0"/>
  </sheetViews>
  <sheetFormatPr defaultRowHeight="15" x14ac:dyDescent="0.25"/>
  <cols>
    <col min="1" max="1" width="82.28515625" customWidth="1"/>
  </cols>
  <sheetData>
    <row r="1" spans="1:1" ht="15.75" thickBot="1" x14ac:dyDescent="0.3">
      <c r="A1" s="273" t="s">
        <v>103</v>
      </c>
    </row>
    <row r="2" spans="1:1" ht="3.75" customHeight="1" x14ac:dyDescent="0.25">
      <c r="A2" s="274"/>
    </row>
    <row r="3" spans="1:1" ht="90" x14ac:dyDescent="0.25">
      <c r="A3" s="271" t="s">
        <v>691</v>
      </c>
    </row>
    <row r="4" spans="1:1" ht="3.75" customHeight="1" x14ac:dyDescent="0.25">
      <c r="A4" s="255"/>
    </row>
    <row r="5" spans="1:1" ht="75" x14ac:dyDescent="0.25">
      <c r="A5" s="256" t="s">
        <v>183</v>
      </c>
    </row>
    <row r="6" spans="1:1" ht="3.75" customHeight="1" x14ac:dyDescent="0.25">
      <c r="A6" s="255"/>
    </row>
    <row r="7" spans="1:1" ht="45" x14ac:dyDescent="0.25">
      <c r="A7" s="256" t="s">
        <v>184</v>
      </c>
    </row>
    <row r="8" spans="1:1" ht="3.75" customHeight="1" x14ac:dyDescent="0.25">
      <c r="A8" s="255"/>
    </row>
    <row r="9" spans="1:1" ht="45" x14ac:dyDescent="0.25">
      <c r="A9" s="256" t="s">
        <v>185</v>
      </c>
    </row>
    <row r="10" spans="1:1" ht="3.75" customHeight="1" x14ac:dyDescent="0.25">
      <c r="A10" s="255"/>
    </row>
    <row r="11" spans="1:1" ht="45" x14ac:dyDescent="0.25">
      <c r="A11" s="256" t="s">
        <v>186</v>
      </c>
    </row>
    <row r="12" spans="1:1" ht="3.75" customHeight="1" x14ac:dyDescent="0.25">
      <c r="A12" s="255"/>
    </row>
    <row r="13" spans="1:1" ht="90" x14ac:dyDescent="0.25">
      <c r="A13" s="272" t="s">
        <v>187</v>
      </c>
    </row>
    <row r="14" spans="1:1" ht="3.75" customHeight="1" x14ac:dyDescent="0.25">
      <c r="A14" s="255"/>
    </row>
    <row r="15" spans="1:1" ht="60" x14ac:dyDescent="0.25">
      <c r="A15" s="256" t="s">
        <v>188</v>
      </c>
    </row>
    <row r="16" spans="1:1" ht="3.75" customHeight="1" x14ac:dyDescent="0.25">
      <c r="A16" s="255"/>
    </row>
    <row r="17" spans="1:9" ht="105" x14ac:dyDescent="0.25">
      <c r="A17" s="256" t="s">
        <v>189</v>
      </c>
    </row>
    <row r="18" spans="1:9" ht="3.75" customHeight="1" x14ac:dyDescent="0.25">
      <c r="A18" s="255"/>
    </row>
    <row r="19" spans="1:9" ht="60" x14ac:dyDescent="0.25">
      <c r="A19" s="256" t="s">
        <v>727</v>
      </c>
    </row>
    <row r="20" spans="1:9" ht="3.75" customHeight="1" x14ac:dyDescent="0.25">
      <c r="A20" s="255"/>
    </row>
    <row r="21" spans="1:9" ht="225" x14ac:dyDescent="0.25">
      <c r="A21" s="256" t="s">
        <v>728</v>
      </c>
    </row>
    <row r="22" spans="1:9" ht="3.75" customHeight="1" thickBot="1" x14ac:dyDescent="0.3">
      <c r="A22" s="275"/>
    </row>
    <row r="23" spans="1:9" x14ac:dyDescent="0.25">
      <c r="C23" s="157"/>
      <c r="D23" s="157"/>
      <c r="E23" s="157"/>
      <c r="F23" s="157"/>
      <c r="G23" s="157"/>
      <c r="H23" s="157"/>
      <c r="I23" s="157"/>
    </row>
    <row r="24" spans="1:9" x14ac:dyDescent="0.25">
      <c r="C24" s="157"/>
      <c r="D24" s="157"/>
      <c r="E24" s="157"/>
      <c r="F24" s="157"/>
      <c r="G24" s="157"/>
      <c r="H24" s="157"/>
      <c r="I24" s="157"/>
    </row>
    <row r="25" spans="1:9" x14ac:dyDescent="0.25">
      <c r="C25" s="157"/>
      <c r="D25" s="157"/>
      <c r="E25" s="157"/>
      <c r="F25" s="157"/>
      <c r="G25" s="157"/>
      <c r="H25" s="157"/>
      <c r="I25" s="157"/>
    </row>
    <row r="26" spans="1:9" ht="15" customHeight="1" x14ac:dyDescent="0.25">
      <c r="C26" s="157"/>
      <c r="D26" s="157"/>
      <c r="E26" s="157"/>
      <c r="F26" s="157"/>
      <c r="G26" s="157"/>
      <c r="H26" s="157"/>
      <c r="I26" s="157"/>
    </row>
    <row r="27" spans="1:9" x14ac:dyDescent="0.25">
      <c r="C27" s="157"/>
      <c r="D27" s="157"/>
      <c r="E27" s="157"/>
      <c r="F27" s="157"/>
      <c r="G27" s="157"/>
      <c r="H27" s="157"/>
      <c r="I27" s="157"/>
    </row>
    <row r="28" spans="1:9" x14ac:dyDescent="0.25">
      <c r="C28" s="157"/>
      <c r="D28" s="157"/>
      <c r="E28" s="157"/>
      <c r="F28" s="157"/>
      <c r="G28" s="157"/>
      <c r="H28" s="157"/>
      <c r="I28" s="157"/>
    </row>
    <row r="29" spans="1:9" x14ac:dyDescent="0.25">
      <c r="C29" s="157"/>
      <c r="D29" s="157"/>
      <c r="E29" s="157"/>
      <c r="F29" s="157"/>
      <c r="G29" s="157"/>
      <c r="H29" s="157"/>
      <c r="I29" s="157"/>
    </row>
    <row r="30" spans="1:9" x14ac:dyDescent="0.25">
      <c r="C30" s="157"/>
      <c r="D30" s="157"/>
      <c r="E30" s="157"/>
      <c r="F30" s="157"/>
      <c r="G30" s="157"/>
      <c r="H30" s="157"/>
      <c r="I30" s="157"/>
    </row>
    <row r="31" spans="1:9" ht="15" customHeight="1" x14ac:dyDescent="0.25">
      <c r="C31" s="157"/>
      <c r="D31" s="157"/>
      <c r="E31" s="157"/>
      <c r="F31" s="157"/>
      <c r="G31" s="157"/>
      <c r="H31" s="157"/>
      <c r="I31" s="157"/>
    </row>
    <row r="32" spans="1:9" x14ac:dyDescent="0.25">
      <c r="C32" s="157"/>
      <c r="D32" s="157"/>
      <c r="E32" s="157"/>
      <c r="F32" s="157"/>
      <c r="G32" s="157"/>
      <c r="H32" s="157"/>
      <c r="I32" s="157"/>
    </row>
    <row r="33" spans="3:9" x14ac:dyDescent="0.25">
      <c r="C33" s="157"/>
      <c r="D33" s="157"/>
      <c r="E33" s="157"/>
      <c r="F33" s="157"/>
      <c r="G33" s="157"/>
      <c r="H33" s="157"/>
      <c r="I33" s="157"/>
    </row>
    <row r="34" spans="3:9" x14ac:dyDescent="0.25">
      <c r="C34" s="157"/>
      <c r="D34" s="157"/>
      <c r="E34" s="157"/>
      <c r="F34" s="157"/>
      <c r="G34" s="157"/>
      <c r="H34" s="157"/>
      <c r="I34" s="157"/>
    </row>
    <row r="35" spans="3:9" x14ac:dyDescent="0.25">
      <c r="C35" s="157"/>
      <c r="D35" s="157"/>
      <c r="E35" s="157"/>
      <c r="F35" s="157"/>
      <c r="G35" s="157"/>
      <c r="H35" s="157"/>
      <c r="I35" s="157"/>
    </row>
    <row r="36" spans="3:9" x14ac:dyDescent="0.25">
      <c r="C36" s="157"/>
      <c r="D36" s="157"/>
      <c r="E36" s="157"/>
      <c r="F36" s="157"/>
      <c r="G36" s="157"/>
      <c r="H36" s="157"/>
      <c r="I36" s="157"/>
    </row>
    <row r="37" spans="3:9" x14ac:dyDescent="0.25">
      <c r="C37" s="157"/>
      <c r="D37" s="157"/>
      <c r="E37" s="157"/>
      <c r="F37" s="157"/>
      <c r="G37" s="157"/>
      <c r="H37" s="157"/>
      <c r="I37" s="157"/>
    </row>
    <row r="38" spans="3:9" x14ac:dyDescent="0.25">
      <c r="C38" s="157"/>
      <c r="D38" s="157"/>
      <c r="E38" s="157"/>
      <c r="F38" s="157"/>
      <c r="G38" s="157"/>
      <c r="H38" s="157"/>
      <c r="I38" s="157"/>
    </row>
    <row r="39" spans="3:9" x14ac:dyDescent="0.25">
      <c r="C39" s="157"/>
      <c r="D39" s="157"/>
      <c r="E39" s="157"/>
      <c r="F39" s="157"/>
      <c r="G39" s="157"/>
      <c r="H39" s="157"/>
      <c r="I39" s="157"/>
    </row>
    <row r="40" spans="3:9" x14ac:dyDescent="0.25">
      <c r="C40" s="157"/>
      <c r="D40" s="157"/>
      <c r="E40" s="157"/>
      <c r="F40" s="157"/>
      <c r="G40" s="157"/>
      <c r="H40" s="157"/>
      <c r="I40" s="157"/>
    </row>
    <row r="41" spans="3:9" x14ac:dyDescent="0.25">
      <c r="C41" s="157"/>
      <c r="D41" s="157"/>
      <c r="E41" s="157"/>
      <c r="F41" s="157"/>
      <c r="G41" s="157"/>
      <c r="H41" s="157"/>
      <c r="I41" s="157"/>
    </row>
    <row r="42" spans="3:9" x14ac:dyDescent="0.25">
      <c r="C42" s="157"/>
      <c r="D42" s="157"/>
      <c r="E42" s="157"/>
      <c r="F42" s="157"/>
      <c r="G42" s="157"/>
      <c r="H42" s="157"/>
      <c r="I42" s="157"/>
    </row>
    <row r="43" spans="3:9" x14ac:dyDescent="0.25">
      <c r="C43" s="157"/>
      <c r="D43" s="157"/>
      <c r="E43" s="157"/>
      <c r="F43" s="157"/>
      <c r="G43" s="157"/>
      <c r="H43" s="157"/>
      <c r="I43" s="157"/>
    </row>
    <row r="44" spans="3:9" x14ac:dyDescent="0.25">
      <c r="C44" s="157"/>
      <c r="D44" s="157"/>
      <c r="E44" s="157"/>
      <c r="F44" s="157"/>
      <c r="G44" s="157"/>
      <c r="H44" s="157"/>
      <c r="I44" s="157"/>
    </row>
    <row r="45" spans="3:9" x14ac:dyDescent="0.25">
      <c r="C45" s="157"/>
      <c r="D45" s="157"/>
      <c r="E45" s="157"/>
      <c r="F45" s="157"/>
      <c r="G45" s="157"/>
      <c r="H45" s="157"/>
      <c r="I45" s="157"/>
    </row>
    <row r="46" spans="3:9" x14ac:dyDescent="0.25">
      <c r="C46" s="157"/>
      <c r="D46" s="157"/>
      <c r="E46" s="157"/>
      <c r="F46" s="157"/>
      <c r="G46" s="157"/>
      <c r="H46" s="157"/>
      <c r="I46" s="157"/>
    </row>
    <row r="47" spans="3:9" x14ac:dyDescent="0.25">
      <c r="C47" s="157"/>
      <c r="D47" s="157"/>
      <c r="E47" s="157"/>
      <c r="F47" s="157"/>
      <c r="G47" s="157"/>
      <c r="H47" s="157"/>
      <c r="I47" s="157"/>
    </row>
    <row r="48" spans="3:9" x14ac:dyDescent="0.25">
      <c r="C48" s="157"/>
      <c r="D48" s="157"/>
      <c r="E48" s="157"/>
      <c r="F48" s="157"/>
      <c r="G48" s="157"/>
      <c r="H48" s="157"/>
      <c r="I48" s="157"/>
    </row>
    <row r="49" spans="3:9" x14ac:dyDescent="0.25">
      <c r="C49" s="157"/>
      <c r="D49" s="157"/>
      <c r="E49" s="157"/>
      <c r="F49" s="157"/>
      <c r="G49" s="157"/>
      <c r="H49" s="157"/>
      <c r="I49" s="157"/>
    </row>
    <row r="50" spans="3:9" x14ac:dyDescent="0.25">
      <c r="C50" s="157"/>
      <c r="D50" s="157"/>
      <c r="E50" s="157"/>
      <c r="F50" s="157"/>
      <c r="G50" s="157"/>
      <c r="H50" s="157"/>
      <c r="I50" s="157"/>
    </row>
    <row r="51" spans="3:9" x14ac:dyDescent="0.25">
      <c r="C51" s="157"/>
      <c r="D51" s="157"/>
      <c r="E51" s="157"/>
      <c r="F51" s="157"/>
      <c r="G51" s="157"/>
      <c r="H51" s="157"/>
      <c r="I51" s="157"/>
    </row>
    <row r="52" spans="3:9" x14ac:dyDescent="0.25">
      <c r="C52" s="157"/>
      <c r="D52" s="157"/>
      <c r="E52" s="157"/>
      <c r="F52" s="157"/>
      <c r="G52" s="157"/>
      <c r="H52" s="157"/>
      <c r="I52" s="157"/>
    </row>
  </sheetData>
  <sheetProtection algorithmName="SHA-512" hashValue="Ir1Ae05Om4NZWF90Jw5/pujWd6OqGoPzr5S9qJ3PWBUSb+GhPe3aMMLkMIFG8e5L2Qf05mKCscXgmr6UdpAwhQ==" saltValue="upyaHoaseax6Hpe/EYZ09A==" spinCount="100000" sheet="1" objects="1" scenarios="1"/>
  <pageMargins left="0.7" right="0.7" top="0.75" bottom="0.75" header="0.3" footer="0.3"/>
  <pageSetup orientation="portrait" horizontalDpi="4294967293" verticalDpi="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86B994-7AEB-4FE7-A7E6-4C7754F9F321}">
  <sheetPr>
    <tabColor theme="0"/>
  </sheetPr>
  <dimension ref="A1:Q330"/>
  <sheetViews>
    <sheetView showGridLines="0" zoomScaleNormal="100" workbookViewId="0">
      <selection sqref="A1:Q1"/>
    </sheetView>
  </sheetViews>
  <sheetFormatPr defaultRowHeight="15" x14ac:dyDescent="0.25"/>
  <cols>
    <col min="1" max="1" width="6" style="543" customWidth="1"/>
    <col min="2" max="2" width="5.28515625" style="543" customWidth="1"/>
    <col min="3" max="3" width="0.7109375" style="543" customWidth="1"/>
    <col min="4" max="7" width="6" style="543" customWidth="1"/>
    <col min="8" max="8" width="0.7109375" style="543" customWidth="1"/>
    <col min="9" max="9" width="5.28515625" style="543" customWidth="1"/>
    <col min="10" max="14" width="6" style="543" customWidth="1"/>
    <col min="15" max="15" width="4.5703125" style="543" customWidth="1"/>
    <col min="16" max="16" width="7.42578125" style="543" customWidth="1"/>
    <col min="17" max="18" width="6" style="543" customWidth="1"/>
    <col min="19" max="16384" width="9.140625" style="543"/>
  </cols>
  <sheetData>
    <row r="1" spans="1:17" ht="18.75" customHeight="1" thickBot="1" x14ac:dyDescent="0.35">
      <c r="A1" s="1135" t="s">
        <v>1</v>
      </c>
      <c r="B1" s="1136"/>
      <c r="C1" s="1136"/>
      <c r="D1" s="1136"/>
      <c r="E1" s="1136"/>
      <c r="F1" s="1136"/>
      <c r="G1" s="1136"/>
      <c r="H1" s="1136"/>
      <c r="I1" s="1136"/>
      <c r="J1" s="1136"/>
      <c r="K1" s="1136"/>
      <c r="L1" s="1136"/>
      <c r="M1" s="1136"/>
      <c r="N1" s="1136"/>
      <c r="O1" s="1136"/>
      <c r="P1" s="1136"/>
      <c r="Q1" s="1137"/>
    </row>
    <row r="2" spans="1:17" ht="3.75" customHeight="1" thickBot="1" x14ac:dyDescent="0.4">
      <c r="A2" s="1138"/>
      <c r="B2" s="1138"/>
      <c r="C2" s="1138"/>
      <c r="D2" s="1138"/>
      <c r="E2" s="1138"/>
      <c r="F2" s="1138"/>
      <c r="G2" s="1138"/>
      <c r="H2" s="1138"/>
      <c r="I2" s="1138"/>
      <c r="J2" s="1138"/>
      <c r="K2" s="1138"/>
      <c r="L2" s="1138"/>
      <c r="M2" s="1138"/>
      <c r="N2" s="1138"/>
      <c r="O2" s="1138"/>
      <c r="P2" s="1138"/>
      <c r="Q2" s="1138"/>
    </row>
    <row r="3" spans="1:17" ht="14.25" customHeight="1" thickBot="1" x14ac:dyDescent="0.3">
      <c r="A3" s="1139" t="s">
        <v>2</v>
      </c>
      <c r="B3" s="1140"/>
      <c r="C3" s="1141"/>
      <c r="D3" s="1142" t="s">
        <v>3</v>
      </c>
      <c r="E3" s="1143"/>
      <c r="F3" s="1143"/>
      <c r="G3" s="1143"/>
      <c r="H3" s="1143"/>
      <c r="I3" s="1143"/>
      <c r="J3" s="1143"/>
      <c r="K3" s="1143"/>
      <c r="L3" s="1143"/>
      <c r="M3" s="1143"/>
      <c r="N3" s="1143"/>
      <c r="O3" s="1143"/>
      <c r="P3" s="1143"/>
      <c r="Q3" s="1144"/>
    </row>
    <row r="4" spans="1:17" ht="12.75" customHeight="1" x14ac:dyDescent="0.25">
      <c r="A4" s="582" t="s">
        <v>4</v>
      </c>
      <c r="B4" s="584">
        <f>total_iq</f>
        <v>0</v>
      </c>
      <c r="C4" s="1141"/>
      <c r="D4" s="1145" t="s">
        <v>5</v>
      </c>
      <c r="E4" s="1146"/>
      <c r="F4" s="1147" t="str">
        <f>IF('Character Sheet'!F4="", "", 'Character Sheet'!F4)</f>
        <v/>
      </c>
      <c r="G4" s="1147"/>
      <c r="H4" s="1147"/>
      <c r="I4" s="1147"/>
      <c r="J4" s="1147"/>
      <c r="K4" s="1146" t="s">
        <v>6</v>
      </c>
      <c r="L4" s="1146"/>
      <c r="M4" s="1146"/>
      <c r="N4" s="1147" t="str">
        <f>IF('Character Sheet'!N4="", "", 'Character Sheet'!N4)</f>
        <v/>
      </c>
      <c r="O4" s="1147"/>
      <c r="P4" s="1147"/>
      <c r="Q4" s="1148"/>
    </row>
    <row r="5" spans="1:17" ht="12.75" customHeight="1" x14ac:dyDescent="0.25">
      <c r="A5" s="585" t="s">
        <v>7</v>
      </c>
      <c r="B5" s="588">
        <f>total_me</f>
        <v>0</v>
      </c>
      <c r="C5" s="1141"/>
      <c r="D5" s="1149" t="s">
        <v>8</v>
      </c>
      <c r="E5" s="1150"/>
      <c r="F5" s="1151" t="str">
        <f>IF('Character Sheet'!F5="", "", 'Character Sheet'!F5)</f>
        <v/>
      </c>
      <c r="G5" s="1152"/>
      <c r="H5" s="1153" t="s">
        <v>9</v>
      </c>
      <c r="I5" s="1154"/>
      <c r="J5" s="587" t="str">
        <f>IF(hf="", "", hf)</f>
        <v/>
      </c>
      <c r="K5" s="1150" t="s">
        <v>10</v>
      </c>
      <c r="L5" s="1150"/>
      <c r="M5" s="1150"/>
      <c r="N5" s="1147" t="str">
        <f>IF('Character Sheet'!N5="", "", 'Character Sheet'!N5)</f>
        <v/>
      </c>
      <c r="O5" s="1147"/>
      <c r="P5" s="1147"/>
      <c r="Q5" s="1148"/>
    </row>
    <row r="6" spans="1:17" ht="12.75" customHeight="1" x14ac:dyDescent="0.25">
      <c r="A6" s="585" t="s">
        <v>11</v>
      </c>
      <c r="B6" s="588">
        <f>total_ma</f>
        <v>0</v>
      </c>
      <c r="C6" s="1141"/>
      <c r="D6" s="1149" t="s">
        <v>19</v>
      </c>
      <c r="E6" s="1150"/>
      <c r="F6" s="1151" t="str">
        <f>alignments</f>
        <v>Not Selected</v>
      </c>
      <c r="G6" s="1152"/>
      <c r="H6" s="1153" t="s">
        <v>20</v>
      </c>
      <c r="I6" s="1154"/>
      <c r="J6" s="587">
        <f>total_ppe</f>
        <v>0</v>
      </c>
      <c r="K6" s="1150" t="s">
        <v>13</v>
      </c>
      <c r="L6" s="1150"/>
      <c r="M6" s="1150"/>
      <c r="N6" s="1147" t="str">
        <f>IF('Character Sheet'!N6="", "", 'Character Sheet'!N6)</f>
        <v/>
      </c>
      <c r="O6" s="1147"/>
      <c r="P6" s="1147"/>
      <c r="Q6" s="1148"/>
    </row>
    <row r="7" spans="1:17" ht="12.75" customHeight="1" x14ac:dyDescent="0.25">
      <c r="A7" s="585" t="s">
        <v>14</v>
      </c>
      <c r="B7" s="588">
        <f>total_ps</f>
        <v>0</v>
      </c>
      <c r="C7" s="1141"/>
      <c r="D7" s="1149" t="s">
        <v>12</v>
      </c>
      <c r="E7" s="1150"/>
      <c r="F7" s="1161" t="str">
        <f>occ</f>
        <v>Not Selected</v>
      </c>
      <c r="G7" s="1161"/>
      <c r="H7" s="1161"/>
      <c r="I7" s="1161"/>
      <c r="J7" s="1161"/>
      <c r="K7" s="1153" t="s">
        <v>17</v>
      </c>
      <c r="L7" s="1162"/>
      <c r="M7" s="1154"/>
      <c r="N7" s="1147" t="str">
        <f>IF('Character Sheet'!N7="", "", 'Character Sheet'!N7)</f>
        <v/>
      </c>
      <c r="O7" s="1147"/>
      <c r="P7" s="1147"/>
      <c r="Q7" s="1148"/>
    </row>
    <row r="8" spans="1:17" ht="12.75" customHeight="1" x14ac:dyDescent="0.25">
      <c r="A8" s="585" t="s">
        <v>18</v>
      </c>
      <c r="B8" s="588">
        <f>total_pp</f>
        <v>0</v>
      </c>
      <c r="C8" s="1141"/>
      <c r="D8" s="1149" t="s">
        <v>15</v>
      </c>
      <c r="E8" s="1150"/>
      <c r="F8" s="1151">
        <f>IF('Character Sheet'!F8="", "", 'Character Sheet'!F8)</f>
        <v>0</v>
      </c>
      <c r="G8" s="1152"/>
      <c r="H8" s="1153" t="s">
        <v>16</v>
      </c>
      <c r="I8" s="1154"/>
      <c r="J8" s="587">
        <f>calc_lev</f>
        <v>1</v>
      </c>
      <c r="K8" s="1153" t="s">
        <v>21</v>
      </c>
      <c r="L8" s="1162"/>
      <c r="M8" s="1154"/>
      <c r="N8" s="1147" t="str">
        <f>IF('Character Sheet'!N8="", "", 'Character Sheet'!N8)</f>
        <v/>
      </c>
      <c r="O8" s="1147"/>
      <c r="P8" s="1147"/>
      <c r="Q8" s="1148"/>
    </row>
    <row r="9" spans="1:17" ht="12.75" customHeight="1" x14ac:dyDescent="0.25">
      <c r="A9" s="585" t="s">
        <v>22</v>
      </c>
      <c r="B9" s="588">
        <f>total_pe</f>
        <v>0</v>
      </c>
      <c r="C9" s="1141"/>
      <c r="D9" s="1155" t="s">
        <v>23</v>
      </c>
      <c r="E9" s="1156"/>
      <c r="F9" s="1151" t="str">
        <f>IF('Character Sheet'!F9="", "", 'Character Sheet'!F9)</f>
        <v/>
      </c>
      <c r="G9" s="1152"/>
      <c r="H9" s="1157" t="s">
        <v>24</v>
      </c>
      <c r="I9" s="1158"/>
      <c r="J9" s="1159"/>
      <c r="K9" s="1151" t="str">
        <f>IF('Character Sheet'!K9="", "", 'Character Sheet'!K9)</f>
        <v/>
      </c>
      <c r="L9" s="1152"/>
      <c r="M9" s="1156" t="s">
        <v>699</v>
      </c>
      <c r="N9" s="1156"/>
      <c r="O9" s="1156"/>
      <c r="P9" s="1151" t="str">
        <f>IF('Character Sheet'!P9="", "", 'Character Sheet'!P9)</f>
        <v/>
      </c>
      <c r="Q9" s="1160"/>
    </row>
    <row r="10" spans="1:17" ht="12.75" customHeight="1" x14ac:dyDescent="0.25">
      <c r="A10" s="585" t="s">
        <v>25</v>
      </c>
      <c r="B10" s="588">
        <f>total_pb</f>
        <v>0</v>
      </c>
      <c r="C10" s="1141"/>
      <c r="D10" s="1149" t="s">
        <v>26</v>
      </c>
      <c r="E10" s="1150"/>
      <c r="F10" s="1151" t="str">
        <f>IF('Character Sheet'!F10="", "", 'Character Sheet'!F10)</f>
        <v/>
      </c>
      <c r="G10" s="1152"/>
      <c r="H10" s="1153" t="s">
        <v>27</v>
      </c>
      <c r="I10" s="1162"/>
      <c r="J10" s="1154"/>
      <c r="K10" s="1151" t="str">
        <f>IF('Character Sheet'!K10="", "", 'Character Sheet'!K10)</f>
        <v/>
      </c>
      <c r="L10" s="1152"/>
      <c r="M10" s="1146" t="s">
        <v>28</v>
      </c>
      <c r="N10" s="1146"/>
      <c r="O10" s="1146"/>
      <c r="P10" s="1151" t="str">
        <f>IF('Character Sheet'!P10="", "", 'Character Sheet'!P10)</f>
        <v/>
      </c>
      <c r="Q10" s="1160"/>
    </row>
    <row r="11" spans="1:17" ht="12.75" customHeight="1" thickBot="1" x14ac:dyDescent="0.3">
      <c r="A11" s="553" t="s">
        <v>29</v>
      </c>
      <c r="B11" s="590">
        <f>total_spd</f>
        <v>0</v>
      </c>
      <c r="C11" s="1141"/>
      <c r="D11" s="1163" t="s">
        <v>30</v>
      </c>
      <c r="E11" s="1164"/>
      <c r="F11" s="1165" t="str">
        <f>IF('Character Sheet'!F11="", "", 'Character Sheet'!F11)</f>
        <v/>
      </c>
      <c r="G11" s="1166"/>
      <c r="H11" s="1167" t="s">
        <v>31</v>
      </c>
      <c r="I11" s="1168"/>
      <c r="J11" s="1169"/>
      <c r="K11" s="1165" t="str">
        <f>IF('Character Sheet'!K11="", "", 'Character Sheet'!K11)</f>
        <v/>
      </c>
      <c r="L11" s="1166"/>
      <c r="M11" s="1164" t="s">
        <v>32</v>
      </c>
      <c r="N11" s="1164"/>
      <c r="O11" s="1164"/>
      <c r="P11" s="1165" t="str">
        <f>IF('Character Sheet'!P11="", "", 'Character Sheet'!P11)</f>
        <v/>
      </c>
      <c r="Q11" s="1170"/>
    </row>
    <row r="12" spans="1:17" ht="3.75" customHeight="1" thickBot="1" x14ac:dyDescent="0.3">
      <c r="A12" s="1177"/>
      <c r="B12" s="1177"/>
      <c r="C12" s="1177"/>
      <c r="D12" s="1177"/>
      <c r="E12" s="1177"/>
      <c r="F12" s="1177"/>
      <c r="G12" s="1177"/>
      <c r="H12" s="1177"/>
      <c r="I12" s="1177"/>
      <c r="J12" s="1177"/>
      <c r="K12" s="1177"/>
      <c r="L12" s="1177"/>
      <c r="M12" s="1177"/>
      <c r="N12" s="1177"/>
      <c r="O12" s="1177"/>
      <c r="P12" s="1177"/>
      <c r="Q12" s="1177"/>
    </row>
    <row r="13" spans="1:17" ht="14.25" customHeight="1" thickBot="1" x14ac:dyDescent="0.3">
      <c r="A13" s="1178" t="s">
        <v>33</v>
      </c>
      <c r="B13" s="1179"/>
      <c r="C13" s="1179"/>
      <c r="D13" s="1179"/>
      <c r="E13" s="1179"/>
      <c r="F13" s="1179"/>
      <c r="G13" s="1179"/>
      <c r="H13" s="1179"/>
      <c r="I13" s="1179"/>
      <c r="J13" s="1179"/>
      <c r="K13" s="1179"/>
      <c r="L13" s="1179"/>
      <c r="M13" s="1179"/>
      <c r="N13" s="1179"/>
      <c r="O13" s="1179"/>
      <c r="P13" s="1179"/>
      <c r="Q13" s="1180"/>
    </row>
    <row r="14" spans="1:17" ht="12.75" customHeight="1" x14ac:dyDescent="0.25">
      <c r="A14" s="592" t="s">
        <v>34</v>
      </c>
      <c r="B14" s="1181">
        <f>VLOOKUP(ps_type, Worktable!M7:N9, 2, FALSE)</f>
        <v>0</v>
      </c>
      <c r="C14" s="1182"/>
      <c r="D14" s="593" t="s">
        <v>35</v>
      </c>
      <c r="E14" s="554">
        <f>B14*2</f>
        <v>0</v>
      </c>
      <c r="F14" s="555" t="s">
        <v>36</v>
      </c>
      <c r="G14" s="1183" t="s">
        <v>37</v>
      </c>
      <c r="H14" s="1184"/>
      <c r="I14" s="1185"/>
      <c r="J14" s="1185"/>
      <c r="K14" s="1185"/>
      <c r="L14" s="556">
        <f>B11</f>
        <v>0</v>
      </c>
      <c r="M14" s="1183" t="s">
        <v>38</v>
      </c>
      <c r="N14" s="1185"/>
      <c r="O14" s="1185"/>
      <c r="P14" s="1185"/>
      <c r="Q14" s="556">
        <f>Q15*40%</f>
        <v>0</v>
      </c>
    </row>
    <row r="15" spans="1:17" ht="12.75" customHeight="1" x14ac:dyDescent="0.25">
      <c r="A15" s="1149" t="s">
        <v>39</v>
      </c>
      <c r="B15" s="1150"/>
      <c r="C15" s="1150"/>
      <c r="D15" s="1150"/>
      <c r="E15" s="1150"/>
      <c r="F15" s="557">
        <f>F16*2</f>
        <v>0</v>
      </c>
      <c r="G15" s="1171" t="s">
        <v>40</v>
      </c>
      <c r="H15" s="1173"/>
      <c r="I15" s="1174"/>
      <c r="J15" s="1174"/>
      <c r="K15" s="1174"/>
      <c r="L15" s="557">
        <f>B11*5</f>
        <v>0</v>
      </c>
      <c r="M15" s="1186" t="s">
        <v>41</v>
      </c>
      <c r="N15" s="1174"/>
      <c r="O15" s="1174"/>
      <c r="P15" s="1174"/>
      <c r="Q15" s="557">
        <f>B7/2</f>
        <v>0</v>
      </c>
    </row>
    <row r="16" spans="1:17" ht="12.75" customHeight="1" x14ac:dyDescent="0.25">
      <c r="A16" s="1155" t="s">
        <v>42</v>
      </c>
      <c r="B16" s="1150"/>
      <c r="C16" s="1150"/>
      <c r="D16" s="1150"/>
      <c r="E16" s="1150"/>
      <c r="F16" s="557">
        <f>IF(total_pe&gt;29, total_pe*2, total_pe)</f>
        <v>0</v>
      </c>
      <c r="G16" s="1171" t="s">
        <v>43</v>
      </c>
      <c r="H16" s="1172"/>
      <c r="I16" s="1172"/>
      <c r="J16" s="1172"/>
      <c r="K16" s="1173"/>
      <c r="L16" s="557">
        <f>B11*20</f>
        <v>0</v>
      </c>
      <c r="M16" s="1171" t="s">
        <v>44</v>
      </c>
      <c r="N16" s="1174"/>
      <c r="O16" s="1174"/>
      <c r="P16" s="1174"/>
      <c r="Q16" s="557">
        <f>Q17*40%</f>
        <v>0</v>
      </c>
    </row>
    <row r="17" spans="1:17" ht="12.75" customHeight="1" thickBot="1" x14ac:dyDescent="0.3">
      <c r="A17" s="1171" t="s">
        <v>45</v>
      </c>
      <c r="B17" s="1174"/>
      <c r="C17" s="1174"/>
      <c r="D17" s="1174"/>
      <c r="E17" s="1174"/>
      <c r="F17" s="557">
        <f>VLOOKUP(ps_type, Worktable!M11:N13, 2, FALSE)</f>
        <v>50</v>
      </c>
      <c r="G17" s="1171" t="s">
        <v>46</v>
      </c>
      <c r="H17" s="1173"/>
      <c r="I17" s="1174"/>
      <c r="J17" s="1174"/>
      <c r="K17" s="1174"/>
      <c r="L17" s="557">
        <f>ROUND((B11*3600)/5280, 1)</f>
        <v>0</v>
      </c>
      <c r="M17" s="1175" t="s">
        <v>47</v>
      </c>
      <c r="N17" s="1176"/>
      <c r="O17" s="1176"/>
      <c r="P17" s="1176"/>
      <c r="Q17" s="558">
        <f>Q15/2</f>
        <v>0</v>
      </c>
    </row>
    <row r="18" spans="1:17" ht="12.75" customHeight="1" x14ac:dyDescent="0.25">
      <c r="A18" s="1171" t="s">
        <v>48</v>
      </c>
      <c r="B18" s="1174"/>
      <c r="C18" s="1174"/>
      <c r="D18" s="1174"/>
      <c r="E18" s="1174"/>
      <c r="F18" s="557">
        <f>VLOOKUP(ps_type, Worktable!M15:N17, 2, FALSE)</f>
        <v>25</v>
      </c>
      <c r="G18" s="1197" t="s">
        <v>49</v>
      </c>
      <c r="H18" s="1198"/>
      <c r="I18" s="1199"/>
      <c r="J18" s="1199"/>
      <c r="K18" s="1199"/>
      <c r="L18" s="557">
        <f>ROUND(L19/3, 1)</f>
        <v>0</v>
      </c>
      <c r="M18" s="1200" t="s">
        <v>50</v>
      </c>
      <c r="N18" s="1201"/>
      <c r="O18" s="1201"/>
      <c r="P18" s="1202"/>
      <c r="Q18" s="559" t="str">
        <f>Worktable!K4&amp;" "&amp;percent</f>
        <v>0 %</v>
      </c>
    </row>
    <row r="19" spans="1:17" ht="12.75" customHeight="1" thickBot="1" x14ac:dyDescent="0.3">
      <c r="A19" s="1203" t="s">
        <v>51</v>
      </c>
      <c r="B19" s="1204"/>
      <c r="C19" s="1204"/>
      <c r="D19" s="1204"/>
      <c r="E19" s="1204"/>
      <c r="F19" s="560">
        <f>ROUND(VLOOKUP(ps_type, Worktable!M19:N21, 2, FALSE), 1)</f>
        <v>0</v>
      </c>
      <c r="G19" s="1163" t="s">
        <v>52</v>
      </c>
      <c r="H19" s="1205"/>
      <c r="I19" s="1164"/>
      <c r="J19" s="1164"/>
      <c r="K19" s="1164"/>
      <c r="L19" s="561">
        <f>IF(total_pe&gt;29, total_pe, total_pe/2)</f>
        <v>0</v>
      </c>
      <c r="M19" s="1206" t="s">
        <v>53</v>
      </c>
      <c r="N19" s="1168"/>
      <c r="O19" s="1168"/>
      <c r="P19" s="1169"/>
      <c r="Q19" s="561" t="str">
        <f>Worktable!K8&amp;" "&amp;percent</f>
        <v>0 %</v>
      </c>
    </row>
    <row r="20" spans="1:17" ht="3.75" customHeight="1" thickBot="1" x14ac:dyDescent="0.3">
      <c r="A20" s="1187"/>
      <c r="B20" s="1187"/>
      <c r="C20" s="1187"/>
      <c r="D20" s="1187"/>
      <c r="E20" s="1187"/>
      <c r="F20" s="1187"/>
      <c r="G20" s="1187"/>
      <c r="H20" s="1187"/>
      <c r="I20" s="1187"/>
      <c r="J20" s="1187"/>
      <c r="K20" s="1187"/>
      <c r="L20" s="1187"/>
      <c r="M20" s="1187"/>
      <c r="N20" s="1187"/>
      <c r="O20" s="1187"/>
      <c r="P20" s="1187"/>
      <c r="Q20" s="1187"/>
    </row>
    <row r="21" spans="1:17" ht="14.25" customHeight="1" thickBot="1" x14ac:dyDescent="0.3">
      <c r="A21" s="1142" t="s">
        <v>54</v>
      </c>
      <c r="B21" s="1143"/>
      <c r="C21" s="1143"/>
      <c r="D21" s="1143"/>
      <c r="E21" s="1143"/>
      <c r="F21" s="1143"/>
      <c r="G21" s="1143"/>
      <c r="H21" s="1143"/>
      <c r="I21" s="1143"/>
      <c r="J21" s="1143"/>
      <c r="K21" s="1143"/>
      <c r="L21" s="1143"/>
      <c r="M21" s="1143"/>
      <c r="N21" s="1143"/>
      <c r="O21" s="1143"/>
      <c r="P21" s="1143"/>
      <c r="Q21" s="1144"/>
    </row>
    <row r="22" spans="1:17" ht="12.75" customHeight="1" thickBot="1" x14ac:dyDescent="0.3">
      <c r="A22" s="1188" t="s">
        <v>55</v>
      </c>
      <c r="B22" s="1189"/>
      <c r="C22" s="1189"/>
      <c r="D22" s="1189"/>
      <c r="E22" s="1190"/>
      <c r="F22" s="598" t="s">
        <v>56</v>
      </c>
      <c r="G22" s="1189" t="s">
        <v>55</v>
      </c>
      <c r="H22" s="1189"/>
      <c r="I22" s="1189"/>
      <c r="J22" s="1189"/>
      <c r="K22" s="1190"/>
      <c r="L22" s="598" t="s">
        <v>56</v>
      </c>
      <c r="M22" s="1191" t="s">
        <v>55</v>
      </c>
      <c r="N22" s="1192"/>
      <c r="O22" s="1192"/>
      <c r="P22" s="1192"/>
      <c r="Q22" s="598" t="s">
        <v>56</v>
      </c>
    </row>
    <row r="23" spans="1:17" ht="12.75" customHeight="1" x14ac:dyDescent="0.25">
      <c r="A23" s="1193" t="str">
        <f>IF('Skills Worktable'!C2="", "", 'Skills Worktable'!C2)</f>
        <v/>
      </c>
      <c r="B23" s="1194"/>
      <c r="C23" s="1194"/>
      <c r="D23" s="1194"/>
      <c r="E23" s="1194"/>
      <c r="F23" s="562" t="str">
        <f>IF('Skills Worktable'!O2="", "", IF('Skills Worktable'!O2&gt;98, 98, 'Skills Worktable'!O2)&amp;" "&amp;percent)</f>
        <v/>
      </c>
      <c r="G23" s="1195" t="str">
        <f>IF('Skills Worktable'!C17="", "", 'Skills Worktable'!C17)</f>
        <v/>
      </c>
      <c r="H23" s="1195"/>
      <c r="I23" s="1195"/>
      <c r="J23" s="1195"/>
      <c r="K23" s="1196"/>
      <c r="L23" s="562" t="str">
        <f>IF('Skills Worktable'!O17="", "", IF('Skills Worktable'!O17&gt;98, 98, 'Skills Worktable'!O17)&amp;" "&amp;percent)</f>
        <v/>
      </c>
      <c r="M23" s="1193" t="str">
        <f>IF('Skills Worktable'!C32="", "", 'Skills Worktable'!C32)</f>
        <v/>
      </c>
      <c r="N23" s="1194"/>
      <c r="O23" s="1194"/>
      <c r="P23" s="1194"/>
      <c r="Q23" s="562" t="str">
        <f>IF('Skills Worktable'!O32="", "", IF('Skills Worktable'!O32&gt;98, 98, 'Skills Worktable'!O32)&amp;" "&amp;percent)</f>
        <v/>
      </c>
    </row>
    <row r="24" spans="1:17" ht="12.75" customHeight="1" x14ac:dyDescent="0.25">
      <c r="A24" s="1207" t="str">
        <f>IF('Skills Worktable'!C3="", "", 'Skills Worktable'!C3)</f>
        <v/>
      </c>
      <c r="B24" s="1208"/>
      <c r="C24" s="1208"/>
      <c r="D24" s="1208"/>
      <c r="E24" s="1208"/>
      <c r="F24" s="563" t="str">
        <f>IF('Skills Worktable'!O3="", "", IF('Skills Worktable'!O3&gt;98, 98, 'Skills Worktable'!O3)&amp;" "&amp;percent)</f>
        <v/>
      </c>
      <c r="G24" s="1209" t="str">
        <f>IF('Skills Worktable'!C18="", "", 'Skills Worktable'!C18)</f>
        <v/>
      </c>
      <c r="H24" s="1209"/>
      <c r="I24" s="1209"/>
      <c r="J24" s="1209"/>
      <c r="K24" s="1210"/>
      <c r="L24" s="563" t="str">
        <f>IF('Skills Worktable'!O18="", "", IF('Skills Worktable'!O18&gt;98, 98, 'Skills Worktable'!O18)&amp;" "&amp;percent)</f>
        <v/>
      </c>
      <c r="M24" s="1207" t="str">
        <f>IF('Skills Worktable'!C33="", "", 'Skills Worktable'!C33)</f>
        <v/>
      </c>
      <c r="N24" s="1208"/>
      <c r="O24" s="1208"/>
      <c r="P24" s="1208"/>
      <c r="Q24" s="563" t="str">
        <f>IF('Skills Worktable'!O33="", "", IF('Skills Worktable'!O33&gt;98, 98, 'Skills Worktable'!O33)&amp;" "&amp;percent)</f>
        <v/>
      </c>
    </row>
    <row r="25" spans="1:17" ht="12.75" customHeight="1" x14ac:dyDescent="0.25">
      <c r="A25" s="1207" t="str">
        <f>IF('Skills Worktable'!C4="", "", 'Skills Worktable'!C4)</f>
        <v/>
      </c>
      <c r="B25" s="1208"/>
      <c r="C25" s="1208"/>
      <c r="D25" s="1208"/>
      <c r="E25" s="1208"/>
      <c r="F25" s="563" t="str">
        <f>IF('Skills Worktable'!O4="", "", IF('Skills Worktable'!O4&gt;98, 98, 'Skills Worktable'!O4)&amp;" "&amp;percent)</f>
        <v/>
      </c>
      <c r="G25" s="1209" t="str">
        <f>IF('Skills Worktable'!C19="", "", 'Skills Worktable'!C19)</f>
        <v/>
      </c>
      <c r="H25" s="1209"/>
      <c r="I25" s="1209"/>
      <c r="J25" s="1209"/>
      <c r="K25" s="1210"/>
      <c r="L25" s="563" t="str">
        <f>IF('Skills Worktable'!O19="", "", IF('Skills Worktable'!O19&gt;98, 98, 'Skills Worktable'!O19)&amp;" "&amp;percent)</f>
        <v/>
      </c>
      <c r="M25" s="1207" t="str">
        <f>IF('Skills Worktable'!C34="", "", 'Skills Worktable'!C34)</f>
        <v/>
      </c>
      <c r="N25" s="1208"/>
      <c r="O25" s="1208"/>
      <c r="P25" s="1208"/>
      <c r="Q25" s="563" t="str">
        <f>IF('Skills Worktable'!O34="", "", IF('Skills Worktable'!O34&gt;98, 98, 'Skills Worktable'!O34)&amp;" "&amp;percent)</f>
        <v/>
      </c>
    </row>
    <row r="26" spans="1:17" ht="12.75" customHeight="1" x14ac:dyDescent="0.25">
      <c r="A26" s="1207" t="str">
        <f>IF('Skills Worktable'!C5="", "", 'Skills Worktable'!C5)</f>
        <v/>
      </c>
      <c r="B26" s="1208"/>
      <c r="C26" s="1208"/>
      <c r="D26" s="1208"/>
      <c r="E26" s="1208"/>
      <c r="F26" s="563" t="str">
        <f>IF('Skills Worktable'!O5="", "", IF('Skills Worktable'!O5&gt;98, 98, 'Skills Worktable'!O5)&amp;" "&amp;percent)</f>
        <v/>
      </c>
      <c r="G26" s="1209" t="str">
        <f>IF('Skills Worktable'!C20="", "", 'Skills Worktable'!C20)</f>
        <v/>
      </c>
      <c r="H26" s="1209"/>
      <c r="I26" s="1209"/>
      <c r="J26" s="1209"/>
      <c r="K26" s="1210"/>
      <c r="L26" s="563" t="str">
        <f>IF('Skills Worktable'!O20="", "", IF('Skills Worktable'!O20&gt;98, 98, 'Skills Worktable'!O20)&amp;" "&amp;percent)</f>
        <v/>
      </c>
      <c r="M26" s="1207" t="str">
        <f>IF('Skills Worktable'!C35="", "", 'Skills Worktable'!C35)</f>
        <v/>
      </c>
      <c r="N26" s="1208"/>
      <c r="O26" s="1208"/>
      <c r="P26" s="1208"/>
      <c r="Q26" s="563" t="str">
        <f>IF('Skills Worktable'!O35="", "", IF('Skills Worktable'!O35&gt;98, 98, 'Skills Worktable'!O35)&amp;" "&amp;percent)</f>
        <v/>
      </c>
    </row>
    <row r="27" spans="1:17" ht="12.75" customHeight="1" x14ac:dyDescent="0.25">
      <c r="A27" s="1207" t="str">
        <f>IF('Skills Worktable'!C6="", "", 'Skills Worktable'!C6)</f>
        <v/>
      </c>
      <c r="B27" s="1208"/>
      <c r="C27" s="1208"/>
      <c r="D27" s="1208"/>
      <c r="E27" s="1208"/>
      <c r="F27" s="563" t="str">
        <f>IF('Skills Worktable'!O6="", "", IF('Skills Worktable'!O6&gt;98, 98, 'Skills Worktable'!O6)&amp;" "&amp;percent)</f>
        <v/>
      </c>
      <c r="G27" s="1209" t="str">
        <f>IF('Skills Worktable'!C21="", "", 'Skills Worktable'!C21)</f>
        <v/>
      </c>
      <c r="H27" s="1209"/>
      <c r="I27" s="1209"/>
      <c r="J27" s="1209"/>
      <c r="K27" s="1210"/>
      <c r="L27" s="563" t="str">
        <f>IF('Skills Worktable'!O21="", "", IF('Skills Worktable'!O21&gt;98, 98, 'Skills Worktable'!O21)&amp;" "&amp;percent)</f>
        <v/>
      </c>
      <c r="M27" s="1207" t="str">
        <f>IF('Skills Worktable'!C36="", "", 'Skills Worktable'!C36)</f>
        <v/>
      </c>
      <c r="N27" s="1208"/>
      <c r="O27" s="1208"/>
      <c r="P27" s="1208"/>
      <c r="Q27" s="563" t="str">
        <f>IF('Skills Worktable'!O36="", "", IF('Skills Worktable'!O36&gt;98, 98, 'Skills Worktable'!O36)&amp;" "&amp;percent)</f>
        <v/>
      </c>
    </row>
    <row r="28" spans="1:17" ht="12.75" customHeight="1" x14ac:dyDescent="0.25">
      <c r="A28" s="1207" t="str">
        <f>IF('Skills Worktable'!C7="", "", 'Skills Worktable'!C7)</f>
        <v/>
      </c>
      <c r="B28" s="1208"/>
      <c r="C28" s="1208"/>
      <c r="D28" s="1208"/>
      <c r="E28" s="1208"/>
      <c r="F28" s="563" t="str">
        <f>IF('Skills Worktable'!O7="", "", IF('Skills Worktable'!O7&gt;98, 98, 'Skills Worktable'!O7)&amp;" "&amp;percent)</f>
        <v/>
      </c>
      <c r="G28" s="1209" t="str">
        <f>IF('Skills Worktable'!C22="", "", 'Skills Worktable'!C22)</f>
        <v/>
      </c>
      <c r="H28" s="1209"/>
      <c r="I28" s="1209"/>
      <c r="J28" s="1209"/>
      <c r="K28" s="1210"/>
      <c r="L28" s="563" t="str">
        <f>IF('Skills Worktable'!O22="", "", IF('Skills Worktable'!O22&gt;98, 98, 'Skills Worktable'!O22)&amp;" "&amp;percent)</f>
        <v/>
      </c>
      <c r="M28" s="1207" t="str">
        <f>IF('Skills Worktable'!C37="", "", 'Skills Worktable'!C37)</f>
        <v/>
      </c>
      <c r="N28" s="1208"/>
      <c r="O28" s="1208"/>
      <c r="P28" s="1208"/>
      <c r="Q28" s="563" t="str">
        <f>IF('Skills Worktable'!O37="", "", IF('Skills Worktable'!O37&gt;98, 98, 'Skills Worktable'!O37)&amp;" "&amp;percent)</f>
        <v/>
      </c>
    </row>
    <row r="29" spans="1:17" ht="12.75" customHeight="1" x14ac:dyDescent="0.25">
      <c r="A29" s="1207" t="str">
        <f>IF('Skills Worktable'!C8="", "", 'Skills Worktable'!C8)</f>
        <v/>
      </c>
      <c r="B29" s="1208"/>
      <c r="C29" s="1208"/>
      <c r="D29" s="1208"/>
      <c r="E29" s="1208"/>
      <c r="F29" s="563" t="str">
        <f>IF('Skills Worktable'!O8="", "", IF('Skills Worktable'!O8&gt;98, 98, 'Skills Worktable'!O8)&amp;" "&amp;percent)</f>
        <v/>
      </c>
      <c r="G29" s="1209" t="str">
        <f>IF('Skills Worktable'!C23="", "", 'Skills Worktable'!C23)</f>
        <v/>
      </c>
      <c r="H29" s="1209"/>
      <c r="I29" s="1209"/>
      <c r="J29" s="1209"/>
      <c r="K29" s="1210"/>
      <c r="L29" s="563" t="str">
        <f>IF('Skills Worktable'!O23="", "", IF('Skills Worktable'!O23&gt;98, 98, 'Skills Worktable'!O23)&amp;" "&amp;percent)</f>
        <v/>
      </c>
      <c r="M29" s="1207" t="str">
        <f>IF('Skills Worktable'!C38="", "", 'Skills Worktable'!C38)</f>
        <v/>
      </c>
      <c r="N29" s="1208"/>
      <c r="O29" s="1208"/>
      <c r="P29" s="1208"/>
      <c r="Q29" s="563" t="str">
        <f>IF('Skills Worktable'!O38="", "", IF('Skills Worktable'!O38&gt;98, 98, 'Skills Worktable'!O38)&amp;" "&amp;percent)</f>
        <v/>
      </c>
    </row>
    <row r="30" spans="1:17" ht="12.75" customHeight="1" x14ac:dyDescent="0.25">
      <c r="A30" s="1207" t="str">
        <f>IF('Skills Worktable'!C9="", "", 'Skills Worktable'!C9)</f>
        <v/>
      </c>
      <c r="B30" s="1208"/>
      <c r="C30" s="1208"/>
      <c r="D30" s="1208"/>
      <c r="E30" s="1208"/>
      <c r="F30" s="563" t="str">
        <f>IF('Skills Worktable'!O9="", "", IF('Skills Worktable'!O9&gt;98, 98, 'Skills Worktable'!O9)&amp;" "&amp;percent)</f>
        <v/>
      </c>
      <c r="G30" s="1209" t="str">
        <f>IF('Skills Worktable'!C24="", "", 'Skills Worktable'!C24)</f>
        <v/>
      </c>
      <c r="H30" s="1209"/>
      <c r="I30" s="1209"/>
      <c r="J30" s="1209"/>
      <c r="K30" s="1210"/>
      <c r="L30" s="563" t="str">
        <f>IF('Skills Worktable'!O24="", "", IF('Skills Worktable'!O24&gt;98, 98, 'Skills Worktable'!O24)&amp;" "&amp;percent)</f>
        <v/>
      </c>
      <c r="M30" s="1207" t="str">
        <f>IF('Skills Worktable'!C39="", "", 'Skills Worktable'!C39)</f>
        <v/>
      </c>
      <c r="N30" s="1208"/>
      <c r="O30" s="1208"/>
      <c r="P30" s="1208"/>
      <c r="Q30" s="563" t="str">
        <f>IF('Skills Worktable'!O39="", "", IF('Skills Worktable'!O39&gt;98, 98, 'Skills Worktable'!O39)&amp;" "&amp;percent)</f>
        <v/>
      </c>
    </row>
    <row r="31" spans="1:17" ht="12.75" customHeight="1" x14ac:dyDescent="0.25">
      <c r="A31" s="1207" t="str">
        <f>IF('Skills Worktable'!C10="", "", 'Skills Worktable'!C10)</f>
        <v/>
      </c>
      <c r="B31" s="1208"/>
      <c r="C31" s="1208"/>
      <c r="D31" s="1208"/>
      <c r="E31" s="1208"/>
      <c r="F31" s="563" t="str">
        <f>IF('Skills Worktable'!O10="", "", IF('Skills Worktable'!O10&gt;98, 98, 'Skills Worktable'!O10)&amp;" "&amp;percent)</f>
        <v/>
      </c>
      <c r="G31" s="1209" t="str">
        <f>IF('Skills Worktable'!C25="", "", 'Skills Worktable'!C25)</f>
        <v/>
      </c>
      <c r="H31" s="1209"/>
      <c r="I31" s="1209"/>
      <c r="J31" s="1209"/>
      <c r="K31" s="1210"/>
      <c r="L31" s="563" t="str">
        <f>IF('Skills Worktable'!O25="", "", IF('Skills Worktable'!O25&gt;98, 98, 'Skills Worktable'!O25)&amp;" "&amp;percent)</f>
        <v/>
      </c>
      <c r="M31" s="1207" t="str">
        <f>IF('Skills Worktable'!C40="", "", 'Skills Worktable'!C40)</f>
        <v/>
      </c>
      <c r="N31" s="1208"/>
      <c r="O31" s="1208"/>
      <c r="P31" s="1208"/>
      <c r="Q31" s="563" t="str">
        <f>IF('Skills Worktable'!O40="", "", IF('Skills Worktable'!O40&gt;98, 98, 'Skills Worktable'!O40)&amp;" "&amp;percent)</f>
        <v/>
      </c>
    </row>
    <row r="32" spans="1:17" ht="12.75" customHeight="1" x14ac:dyDescent="0.25">
      <c r="A32" s="1207" t="str">
        <f>IF('Skills Worktable'!C11="", "", 'Skills Worktable'!C11)</f>
        <v/>
      </c>
      <c r="B32" s="1208"/>
      <c r="C32" s="1208"/>
      <c r="D32" s="1208"/>
      <c r="E32" s="1208"/>
      <c r="F32" s="563" t="str">
        <f>IF('Skills Worktable'!O11="", "", IF('Skills Worktable'!O11&gt;98, 98, 'Skills Worktable'!O11)&amp;" "&amp;percent)</f>
        <v/>
      </c>
      <c r="G32" s="1209" t="str">
        <f>IF('Skills Worktable'!C26="", "", 'Skills Worktable'!C26)</f>
        <v/>
      </c>
      <c r="H32" s="1209"/>
      <c r="I32" s="1209"/>
      <c r="J32" s="1209"/>
      <c r="K32" s="1210"/>
      <c r="L32" s="563" t="str">
        <f>IF('Skills Worktable'!O26="", "", IF('Skills Worktable'!O26&gt;98, 98, 'Skills Worktable'!O26)&amp;" "&amp;percent)</f>
        <v/>
      </c>
      <c r="M32" s="1207" t="str">
        <f>IF('Skills Worktable'!C41="", "", 'Skills Worktable'!C41)</f>
        <v/>
      </c>
      <c r="N32" s="1208"/>
      <c r="O32" s="1208"/>
      <c r="P32" s="1208"/>
      <c r="Q32" s="563" t="str">
        <f>IF('Skills Worktable'!O41="", "", IF('Skills Worktable'!O41&gt;98, 98, 'Skills Worktable'!O41)&amp;" "&amp;percent)</f>
        <v/>
      </c>
    </row>
    <row r="33" spans="1:17" ht="12.75" customHeight="1" x14ac:dyDescent="0.25">
      <c r="A33" s="1207" t="str">
        <f>IF('Skills Worktable'!C12="", "", 'Skills Worktable'!C12)</f>
        <v/>
      </c>
      <c r="B33" s="1208"/>
      <c r="C33" s="1208"/>
      <c r="D33" s="1208"/>
      <c r="E33" s="1208"/>
      <c r="F33" s="563" t="str">
        <f>IF('Skills Worktable'!O12="", "", IF('Skills Worktable'!O12&gt;98, 98, 'Skills Worktable'!O12)&amp;" "&amp;percent)</f>
        <v/>
      </c>
      <c r="G33" s="1209" t="str">
        <f>IF('Skills Worktable'!C27="", "", 'Skills Worktable'!C27)</f>
        <v/>
      </c>
      <c r="H33" s="1209"/>
      <c r="I33" s="1209"/>
      <c r="J33" s="1209"/>
      <c r="K33" s="1210"/>
      <c r="L33" s="563" t="str">
        <f>IF('Skills Worktable'!O27="", "", IF('Skills Worktable'!O27&gt;98, 98, 'Skills Worktable'!O27)&amp;" "&amp;percent)</f>
        <v/>
      </c>
      <c r="M33" s="1207" t="str">
        <f>IF('Skills Worktable'!C42="", "", 'Skills Worktable'!C42)</f>
        <v/>
      </c>
      <c r="N33" s="1208"/>
      <c r="O33" s="1208"/>
      <c r="P33" s="1208"/>
      <c r="Q33" s="563" t="str">
        <f>IF('Skills Worktable'!O42="", "", IF('Skills Worktable'!O42&gt;98, 98, 'Skills Worktable'!O42)&amp;" "&amp;percent)</f>
        <v/>
      </c>
    </row>
    <row r="34" spans="1:17" ht="12.75" customHeight="1" x14ac:dyDescent="0.25">
      <c r="A34" s="1207" t="str">
        <f>IF('Skills Worktable'!C13="", "", 'Skills Worktable'!C13)</f>
        <v/>
      </c>
      <c r="B34" s="1208"/>
      <c r="C34" s="1208"/>
      <c r="D34" s="1208"/>
      <c r="E34" s="1208"/>
      <c r="F34" s="563" t="str">
        <f>IF('Skills Worktable'!O13="", "", IF('Skills Worktable'!O13&gt;98, 98, 'Skills Worktable'!O13)&amp;" "&amp;percent)</f>
        <v/>
      </c>
      <c r="G34" s="1209" t="str">
        <f>IF('Skills Worktable'!C28="", "", 'Skills Worktable'!C28)</f>
        <v/>
      </c>
      <c r="H34" s="1209"/>
      <c r="I34" s="1209"/>
      <c r="J34" s="1209"/>
      <c r="K34" s="1210"/>
      <c r="L34" s="563" t="str">
        <f>IF('Skills Worktable'!O28="", "", IF('Skills Worktable'!O28&gt;98, 98, 'Skills Worktable'!O28)&amp;" "&amp;percent)</f>
        <v/>
      </c>
      <c r="M34" s="1207" t="str">
        <f>IF('Skills Worktable'!C43="", "", 'Skills Worktable'!C43)</f>
        <v/>
      </c>
      <c r="N34" s="1208"/>
      <c r="O34" s="1208"/>
      <c r="P34" s="1208"/>
      <c r="Q34" s="563" t="str">
        <f>IF('Skills Worktable'!O43="", "", IF('Skills Worktable'!O43&gt;98, 98, 'Skills Worktable'!O43)&amp;" "&amp;percent)</f>
        <v/>
      </c>
    </row>
    <row r="35" spans="1:17" ht="12.75" customHeight="1" x14ac:dyDescent="0.25">
      <c r="A35" s="1207" t="str">
        <f>IF('Skills Worktable'!C14="", "", 'Skills Worktable'!C14)</f>
        <v/>
      </c>
      <c r="B35" s="1208"/>
      <c r="C35" s="1208"/>
      <c r="D35" s="1208"/>
      <c r="E35" s="1208"/>
      <c r="F35" s="563" t="str">
        <f>IF('Skills Worktable'!O14="", "", IF('Skills Worktable'!O14&gt;98, 98, 'Skills Worktable'!O14)&amp;" "&amp;percent)</f>
        <v/>
      </c>
      <c r="G35" s="1209" t="str">
        <f>IF('Skills Worktable'!C29="", "", 'Skills Worktable'!C29)</f>
        <v/>
      </c>
      <c r="H35" s="1209"/>
      <c r="I35" s="1209"/>
      <c r="J35" s="1209"/>
      <c r="K35" s="1210"/>
      <c r="L35" s="563" t="str">
        <f>IF('Skills Worktable'!O29="", "", IF('Skills Worktable'!O29&gt;98, 98, 'Skills Worktable'!O29)&amp;" "&amp;percent)</f>
        <v/>
      </c>
      <c r="M35" s="1207" t="str">
        <f>IF('Skills Worktable'!C44="", "", 'Skills Worktable'!C44)</f>
        <v/>
      </c>
      <c r="N35" s="1208"/>
      <c r="O35" s="1208"/>
      <c r="P35" s="1208"/>
      <c r="Q35" s="563" t="str">
        <f>IF('Skills Worktable'!O44="", "", IF('Skills Worktable'!O44&gt;98, 98, 'Skills Worktable'!O44)&amp;" "&amp;percent)</f>
        <v/>
      </c>
    </row>
    <row r="36" spans="1:17" ht="12.75" customHeight="1" x14ac:dyDescent="0.25">
      <c r="A36" s="1207" t="str">
        <f>IF('Skills Worktable'!C15="", "", 'Skills Worktable'!C15)</f>
        <v/>
      </c>
      <c r="B36" s="1208"/>
      <c r="C36" s="1208"/>
      <c r="D36" s="1208"/>
      <c r="E36" s="1208"/>
      <c r="F36" s="563" t="str">
        <f>IF('Skills Worktable'!O15="", "", IF('Skills Worktable'!O15&gt;98, 98, 'Skills Worktable'!O15)&amp;" "&amp;percent)</f>
        <v/>
      </c>
      <c r="G36" s="1209" t="str">
        <f>IF('Skills Worktable'!C30="", "", 'Skills Worktable'!C30)</f>
        <v/>
      </c>
      <c r="H36" s="1209"/>
      <c r="I36" s="1209"/>
      <c r="J36" s="1209"/>
      <c r="K36" s="1210"/>
      <c r="L36" s="563" t="str">
        <f>IF('Skills Worktable'!O30="", "", IF('Skills Worktable'!O30&gt;98, 98, 'Skills Worktable'!O30)&amp;" "&amp;percent)</f>
        <v/>
      </c>
      <c r="M36" s="1207" t="str">
        <f>IF('Skills Worktable'!C45="", "", 'Skills Worktable'!C45)</f>
        <v/>
      </c>
      <c r="N36" s="1208"/>
      <c r="O36" s="1208"/>
      <c r="P36" s="1208"/>
      <c r="Q36" s="563" t="str">
        <f>IF('Skills Worktable'!O45="", "", IF('Skills Worktable'!O45&gt;98, 98, 'Skills Worktable'!O45)&amp;" "&amp;percent)</f>
        <v/>
      </c>
    </row>
    <row r="37" spans="1:17" ht="12.75" customHeight="1" thickBot="1" x14ac:dyDescent="0.3">
      <c r="A37" s="1216" t="str">
        <f>IF('Skills Worktable'!C16="", "", 'Skills Worktable'!C16)</f>
        <v/>
      </c>
      <c r="B37" s="1217"/>
      <c r="C37" s="1217"/>
      <c r="D37" s="1217"/>
      <c r="E37" s="1217"/>
      <c r="F37" s="564" t="str">
        <f>IF('Skills Worktable'!O16="", "", IF('Skills Worktable'!O16&gt;98, 98, 'Skills Worktable'!O16)&amp;" "&amp;percent)</f>
        <v/>
      </c>
      <c r="G37" s="1218" t="str">
        <f>IF('Skills Worktable'!C31="", "", 'Skills Worktable'!C31)</f>
        <v/>
      </c>
      <c r="H37" s="1218"/>
      <c r="I37" s="1218"/>
      <c r="J37" s="1218"/>
      <c r="K37" s="1219"/>
      <c r="L37" s="564" t="str">
        <f>IF('Skills Worktable'!O31="", "", IF('Skills Worktable'!O31&gt;98, 98, 'Skills Worktable'!O31)&amp;" "&amp;percent)</f>
        <v/>
      </c>
      <c r="M37" s="1216" t="str">
        <f>IF('Skills Worktable'!C46="", "", 'Skills Worktable'!C46)</f>
        <v/>
      </c>
      <c r="N37" s="1217"/>
      <c r="O37" s="1217"/>
      <c r="P37" s="1217"/>
      <c r="Q37" s="564" t="str">
        <f>IF('Skills Worktable'!O46="", "", IF('Skills Worktable'!O46&gt;98, 98, 'Skills Worktable'!O46)&amp;" "&amp;percent)</f>
        <v/>
      </c>
    </row>
    <row r="38" spans="1:17" ht="3.75" customHeight="1" thickBot="1" x14ac:dyDescent="0.3">
      <c r="A38" s="1177"/>
      <c r="B38" s="1177"/>
      <c r="C38" s="1177"/>
      <c r="D38" s="1177"/>
      <c r="E38" s="1177"/>
      <c r="F38" s="1177"/>
      <c r="G38" s="1177"/>
      <c r="H38" s="1177"/>
      <c r="I38" s="1177"/>
      <c r="J38" s="1177"/>
      <c r="K38" s="1177"/>
      <c r="L38" s="1177"/>
      <c r="M38" s="1177"/>
      <c r="N38" s="1177"/>
      <c r="O38" s="1177"/>
      <c r="P38" s="1177"/>
      <c r="Q38" s="1177"/>
    </row>
    <row r="39" spans="1:17" ht="14.25" customHeight="1" thickBot="1" x14ac:dyDescent="0.3">
      <c r="A39" s="1142" t="s">
        <v>57</v>
      </c>
      <c r="B39" s="1143"/>
      <c r="C39" s="1143"/>
      <c r="D39" s="1143"/>
      <c r="E39" s="1143"/>
      <c r="F39" s="1143"/>
      <c r="G39" s="1143"/>
      <c r="H39" s="1143"/>
      <c r="I39" s="1143"/>
      <c r="J39" s="1143"/>
      <c r="K39" s="1143"/>
      <c r="L39" s="1143"/>
      <c r="M39" s="1143"/>
      <c r="N39" s="1143"/>
      <c r="O39" s="1143"/>
      <c r="P39" s="1143"/>
      <c r="Q39" s="1144"/>
    </row>
    <row r="40" spans="1:17" ht="12.75" customHeight="1" x14ac:dyDescent="0.25">
      <c r="A40" s="1211" t="s">
        <v>58</v>
      </c>
      <c r="B40" s="1212"/>
      <c r="C40" s="1212"/>
      <c r="D40" s="1212"/>
      <c r="E40" s="565" t="str">
        <f>plus&amp;" "&amp;save_coma&amp;" "&amp;percent</f>
        <v>+ 0 %</v>
      </c>
      <c r="F40" s="1213" t="s">
        <v>59</v>
      </c>
      <c r="G40" s="1214"/>
      <c r="H40" s="1214"/>
      <c r="I40" s="1215"/>
      <c r="J40" s="565" t="str">
        <f>plus&amp;" "&amp;save_hf</f>
        <v>+ 0</v>
      </c>
      <c r="K40" s="1213" t="s">
        <v>60</v>
      </c>
      <c r="L40" s="1214"/>
      <c r="M40" s="1215"/>
      <c r="N40" s="565" t="str">
        <f>plus&amp;" "&amp;save_element</f>
        <v>+ 0</v>
      </c>
      <c r="O40" s="1213" t="s">
        <v>61</v>
      </c>
      <c r="P40" s="1215"/>
      <c r="Q40" s="566" t="str">
        <f>plus&amp;" "&amp;save_possess</f>
        <v>+ 0</v>
      </c>
    </row>
    <row r="41" spans="1:17" ht="12.75" customHeight="1" x14ac:dyDescent="0.25">
      <c r="A41" s="1228" t="s">
        <v>62</v>
      </c>
      <c r="B41" s="1172"/>
      <c r="C41" s="1172"/>
      <c r="D41" s="1173"/>
      <c r="E41" s="567" t="str">
        <f>plus&amp;" "&amp;save_psi</f>
        <v>+ 0</v>
      </c>
      <c r="F41" s="1229" t="s">
        <v>63</v>
      </c>
      <c r="G41" s="1172"/>
      <c r="H41" s="1172"/>
      <c r="I41" s="1173"/>
      <c r="J41" s="567" t="str">
        <f>plus&amp;" "&amp;save_magic</f>
        <v>+ 0</v>
      </c>
      <c r="K41" s="1213" t="s">
        <v>64</v>
      </c>
      <c r="L41" s="1214"/>
      <c r="M41" s="1215"/>
      <c r="N41" s="567" t="str">
        <f>plus&amp;" "&amp;save_poison</f>
        <v>+ 0</v>
      </c>
      <c r="O41" s="1213" t="s">
        <v>65</v>
      </c>
      <c r="P41" s="1215"/>
      <c r="Q41" s="557" t="str">
        <f>plus&amp;" "&amp;save_illusion</f>
        <v>+ 0</v>
      </c>
    </row>
    <row r="42" spans="1:17" ht="12.75" customHeight="1" thickBot="1" x14ac:dyDescent="0.3">
      <c r="A42" s="1230" t="s">
        <v>66</v>
      </c>
      <c r="B42" s="1231"/>
      <c r="C42" s="1231"/>
      <c r="D42" s="1232"/>
      <c r="E42" s="568" t="str">
        <f>plus&amp;" "&amp;save_insane</f>
        <v>+ 0</v>
      </c>
      <c r="F42" s="1233" t="s">
        <v>67</v>
      </c>
      <c r="G42" s="1231"/>
      <c r="H42" s="1231"/>
      <c r="I42" s="1232"/>
      <c r="J42" s="568" t="str">
        <f>plus&amp;" "&amp;save_faerie</f>
        <v>+ 0</v>
      </c>
      <c r="K42" s="1233" t="s">
        <v>68</v>
      </c>
      <c r="L42" s="1231"/>
      <c r="M42" s="1232"/>
      <c r="N42" s="568" t="str">
        <f>plus&amp;" "&amp;save_disease</f>
        <v>+ 0</v>
      </c>
      <c r="O42" s="1233" t="s">
        <v>69</v>
      </c>
      <c r="P42" s="1232"/>
      <c r="Q42" s="560" t="str">
        <f>plus&amp;" "&amp;save_control</f>
        <v>+ 0</v>
      </c>
    </row>
    <row r="43" spans="1:17" ht="3.75" customHeight="1" thickBot="1" x14ac:dyDescent="0.3">
      <c r="A43" s="1187"/>
      <c r="B43" s="1187"/>
      <c r="C43" s="1187"/>
      <c r="D43" s="1187"/>
      <c r="E43" s="1187"/>
      <c r="F43" s="1187"/>
      <c r="G43" s="1187"/>
      <c r="H43" s="1187"/>
      <c r="I43" s="1187"/>
      <c r="J43" s="1187"/>
      <c r="K43" s="1187"/>
      <c r="L43" s="1187"/>
      <c r="M43" s="1187"/>
      <c r="N43" s="1187"/>
      <c r="O43" s="1187"/>
      <c r="P43" s="1187"/>
      <c r="Q43" s="1187"/>
    </row>
    <row r="44" spans="1:17" ht="14.25" customHeight="1" thickBot="1" x14ac:dyDescent="0.3">
      <c r="A44" s="1220" t="s">
        <v>70</v>
      </c>
      <c r="B44" s="1221"/>
      <c r="C44" s="1221"/>
      <c r="D44" s="1221"/>
      <c r="E44" s="1221"/>
      <c r="F44" s="1221"/>
      <c r="G44" s="1221"/>
      <c r="H44" s="1221"/>
      <c r="I44" s="1221"/>
      <c r="J44" s="1221"/>
      <c r="K44" s="1221"/>
      <c r="L44" s="1221"/>
      <c r="M44" s="1221"/>
      <c r="N44" s="1221"/>
      <c r="O44" s="1221"/>
      <c r="P44" s="1221"/>
      <c r="Q44" s="1222"/>
    </row>
    <row r="45" spans="1:17" s="544" customFormat="1" ht="12.75" customHeight="1" x14ac:dyDescent="0.2">
      <c r="A45" s="1223" t="s">
        <v>71</v>
      </c>
      <c r="B45" s="1224"/>
      <c r="C45" s="1224"/>
      <c r="D45" s="1224" t="str">
        <f>IF(hth="", "None", hth)</f>
        <v>None</v>
      </c>
      <c r="E45" s="1224"/>
      <c r="F45" s="1225"/>
      <c r="G45" s="1226" t="s">
        <v>661</v>
      </c>
      <c r="H45" s="1201"/>
      <c r="I45" s="1202"/>
      <c r="J45" s="569">
        <f>total_attack</f>
        <v>1</v>
      </c>
      <c r="K45" s="595" t="s">
        <v>659</v>
      </c>
      <c r="L45" s="570">
        <f>total_hp</f>
        <v>0</v>
      </c>
      <c r="M45" s="594" t="s">
        <v>73</v>
      </c>
      <c r="N45" s="591">
        <f>total_sdc</f>
        <v>0</v>
      </c>
      <c r="O45" s="1227" t="s">
        <v>660</v>
      </c>
      <c r="P45" s="1227"/>
      <c r="Q45" s="556" t="str">
        <f>IF(COUNTIF(skill_select, "W.P. Archery")=0, "", IF(INDEX(wp_rof, MATCH("W.P. Archery", rof_col, 0), MATCH(calc_lev-(VLOOKUP("W.P. Archery", wp_search, 10, FALSE))+1, rof_row, 0))="", "", INDEX(wp_rof, MATCH("W.P. Archery", rof_col, 0), MATCH(calc_lev-(VLOOKUP("W.P. Archery", wp_search, 10, FALSE))+1, rof_row, 0))))</f>
        <v/>
      </c>
    </row>
    <row r="46" spans="1:17" ht="12.75" customHeight="1" x14ac:dyDescent="0.25">
      <c r="A46" s="1243" t="s">
        <v>74</v>
      </c>
      <c r="B46" s="1162"/>
      <c r="C46" s="1154"/>
      <c r="D46" s="571" t="str">
        <f>plus&amp;" "&amp;total_initiative</f>
        <v>+ 0</v>
      </c>
      <c r="E46" s="1244" t="s">
        <v>75</v>
      </c>
      <c r="F46" s="1244"/>
      <c r="G46" s="572" t="str">
        <f>plus&amp;" "&amp;total_strike</f>
        <v>+ 0</v>
      </c>
      <c r="H46" s="1150" t="s">
        <v>76</v>
      </c>
      <c r="I46" s="1150"/>
      <c r="J46" s="1150"/>
      <c r="K46" s="571" t="str">
        <f>plus&amp;" "&amp;total_parry</f>
        <v>+ 0</v>
      </c>
      <c r="L46" s="1176" t="s">
        <v>77</v>
      </c>
      <c r="M46" s="1176"/>
      <c r="N46" s="571" t="str">
        <f>plus&amp;" "&amp;total_dodge</f>
        <v>+ 0</v>
      </c>
      <c r="O46" s="1245" t="s">
        <v>78</v>
      </c>
      <c r="P46" s="1246"/>
      <c r="Q46" s="573" t="str">
        <f>plus&amp;" "&amp;total_roll</f>
        <v>+ 0</v>
      </c>
    </row>
    <row r="47" spans="1:17" ht="12.75" customHeight="1" thickBot="1" x14ac:dyDescent="0.3">
      <c r="A47" s="1206" t="s">
        <v>79</v>
      </c>
      <c r="B47" s="1168"/>
      <c r="C47" s="1169"/>
      <c r="D47" s="574" t="str">
        <f>plus&amp;" "&amp;total_pull</f>
        <v>+ 0</v>
      </c>
      <c r="E47" s="1247" t="s">
        <v>80</v>
      </c>
      <c r="F47" s="1247"/>
      <c r="G47" s="574" t="str">
        <f>plus&amp;" "&amp;total_damage</f>
        <v>+ 0</v>
      </c>
      <c r="H47" s="1247" t="s">
        <v>81</v>
      </c>
      <c r="I47" s="1247"/>
      <c r="J47" s="1247"/>
      <c r="K47" s="574">
        <f>crit</f>
        <v>20</v>
      </c>
      <c r="L47" s="1248" t="s">
        <v>82</v>
      </c>
      <c r="M47" s="1249"/>
      <c r="N47" s="574" t="str">
        <f>IF(ko="", "", ko)</f>
        <v/>
      </c>
      <c r="O47" s="1233" t="s">
        <v>83</v>
      </c>
      <c r="P47" s="1232"/>
      <c r="Q47" s="561" t="str">
        <f>IF(db="", "", db)</f>
        <v/>
      </c>
    </row>
    <row r="48" spans="1:17" ht="3.75" customHeight="1" thickBot="1" x14ac:dyDescent="0.3">
      <c r="A48" s="1187"/>
      <c r="B48" s="1187"/>
      <c r="C48" s="1187"/>
      <c r="D48" s="1187"/>
      <c r="E48" s="1187"/>
      <c r="F48" s="1187"/>
      <c r="G48" s="1187"/>
      <c r="H48" s="1187"/>
      <c r="I48" s="1187"/>
      <c r="J48" s="1187"/>
      <c r="K48" s="1187"/>
      <c r="L48" s="1187"/>
      <c r="M48" s="1187"/>
      <c r="N48" s="1187"/>
      <c r="O48" s="1187"/>
      <c r="P48" s="1187"/>
      <c r="Q48" s="1187"/>
    </row>
    <row r="49" spans="1:17" ht="14.25" customHeight="1" thickBot="1" x14ac:dyDescent="0.3">
      <c r="A49" s="1142" t="s">
        <v>658</v>
      </c>
      <c r="B49" s="1143"/>
      <c r="C49" s="1143"/>
      <c r="D49" s="1143"/>
      <c r="E49" s="1143"/>
      <c r="F49" s="1143"/>
      <c r="G49" s="1143"/>
      <c r="H49" s="1143"/>
      <c r="I49" s="1143"/>
      <c r="J49" s="1143"/>
      <c r="K49" s="1143"/>
      <c r="L49" s="1143"/>
      <c r="M49" s="1143"/>
      <c r="N49" s="1143"/>
      <c r="O49" s="1143"/>
      <c r="P49" s="1143"/>
      <c r="Q49" s="1144"/>
    </row>
    <row r="50" spans="1:17" ht="12.75" customHeight="1" x14ac:dyDescent="0.25">
      <c r="A50" s="1234" t="s">
        <v>190</v>
      </c>
      <c r="B50" s="1235"/>
      <c r="C50" s="1236"/>
      <c r="D50" s="583" t="s">
        <v>84</v>
      </c>
      <c r="E50" s="1237" t="str">
        <f>IF(VLOOKUP(TRUE, true_weapons, 3, FALSE)=0, "Basic Punch", VLOOKUP(TRUE, true_weapons, 3, FALSE))</f>
        <v>Basic Punch</v>
      </c>
      <c r="F50" s="1196"/>
      <c r="G50" s="583" t="s">
        <v>75</v>
      </c>
      <c r="H50" s="1238" t="str">
        <f>IF(VLOOKUP(TRUE, true_weapons, 12, FALSE)="RANGED", plus&amp;" "&amp;VLOOKUP(TRUE, true_weapons, 5, FALSE)+VLOOKUP(TRUE, true_weapons, 10, FALSE)+range_strike, plus&amp;" "&amp;VLOOKUP(TRUE, true_weapons, 5, FALSE)+VLOOKUP(TRUE, true_weapons, 10, FALSE)+total_strike)</f>
        <v>+ 0</v>
      </c>
      <c r="I50" s="1239"/>
      <c r="J50" s="596" t="s">
        <v>76</v>
      </c>
      <c r="K50" s="575" t="str">
        <f>plus&amp;" "&amp;VLOOKUP(TRUE, true_weapons, 6, FALSE)+VLOOKUP(TRUE, true_weapons, 11, FALSE)+total_parry</f>
        <v>+ 0</v>
      </c>
      <c r="L50" s="1240" t="s">
        <v>85</v>
      </c>
      <c r="M50" s="1241"/>
      <c r="N50" s="1242" t="str">
        <f>IF(VLOOKUP(TRUE, true_weapons, 7, FALSE)=0, basic_punch, IF(VLOOKUP(TRUE, true_weapons, 12, FALSE)="RANGED", VLOOKUP(TRUE, true_weapons, 15, FALSE), VLOOKUP(TRUE, true_weapons, 14, FALSE)))</f>
        <v>1D4+0</v>
      </c>
      <c r="O50" s="1225"/>
      <c r="P50" s="576" t="str">
        <f>IF(VLOOKUP(TRUE, true_weapons, 12, FALSE)="RANGED", "Range", IF(COUNTIF(skill_select, VLOOKUP(TRUE, true_weapons, 4, FALSE))=0, "", IF(VLOOKUP(VLOOKUP(TRUE, true_weapons, 4, FALSE), special_search, 2, FALSE)="", "", (VLOOKUP(VLOOKUP(TRUE, true_weapons, 4, FALSE), special_search, 2, FALSE)))))</f>
        <v/>
      </c>
      <c r="Q50" s="577" t="str">
        <f>IF(VLOOKUP(TRUE, true_weapons, 12, FALSE)="RANGED", VLOOKUP(TRUE, true_weapons, 13, FALSE)&amp;" "&amp;VLOOKUP(TRUE, true_weapons, 16, FALSE), IF(COUNTIF(skill_select, VLOOKUP(TRUE, true_weapons, 4, FALSE))=0, "", IF(INDEX(wp_special, MATCH(VLOOKUP(TRUE, true_weapons, 4, FALSE), special_col, 0), MATCH(calc_lev-(VLOOKUP(VLOOKUP(TRUE, true_weapons, 4, FALSE), wp_search, 10, FALSE))+1, special_row, 0))="", "", INDEX(wp_special, MATCH(VLOOKUP(TRUE, true_weapons, 4, FALSE), special_col, 0), MATCH(calc_lev-(VLOOKUP(VLOOKUP(TRUE, true_weapons, 4, FALSE), wp_search, 10, FALSE))+1, special_row, 0)))))</f>
        <v/>
      </c>
    </row>
    <row r="51" spans="1:17" ht="12.75" customHeight="1" x14ac:dyDescent="0.25">
      <c r="A51" s="1255" t="s">
        <v>191</v>
      </c>
      <c r="B51" s="1256"/>
      <c r="C51" s="1257"/>
      <c r="D51" s="586" t="s">
        <v>84</v>
      </c>
      <c r="E51" s="1258" t="str">
        <f>IF(VLOOKUP(TRUE, true_alt, 2, FALSE)=0, "Basic Punch", VLOOKUP(TRUE, true_alt, 2, FALSE))</f>
        <v>Basic Punch</v>
      </c>
      <c r="F51" s="1210"/>
      <c r="G51" s="586" t="s">
        <v>75</v>
      </c>
      <c r="H51" s="1151" t="str">
        <f>IF(VLOOKUP(TRUE, true_alt, 11, FALSE)="RANGED", plus&amp;" "&amp;VLOOKUP(TRUE, true_alt, 4, FALSE)+VLOOKUP(TRUE, true_alt, 9, FALSE)+range_strike, plus&amp;" "&amp;VLOOKUP(TRUE, true_alt, 4, FALSE)+VLOOKUP(TRUE, true_alt, 9, FALSE)+total_strike)</f>
        <v>+ 0</v>
      </c>
      <c r="I51" s="1152"/>
      <c r="J51" s="586" t="s">
        <v>76</v>
      </c>
      <c r="K51" s="587" t="str">
        <f>plus&amp;" "&amp;VLOOKUP(TRUE, true_alt, 5, FALSE)+VLOOKUP(TRUE, true_alt, 10, FALSE)+total_parry</f>
        <v>+ 0</v>
      </c>
      <c r="L51" s="1153" t="s">
        <v>85</v>
      </c>
      <c r="M51" s="1162"/>
      <c r="N51" s="1151" t="str">
        <f>IF(VLOOKUP(TRUE, true_alt, 6, FALSE)=0, basic_punch, IF(VLOOKUP(TRUE, true_alt, 11, FALSE)="RANGED", VLOOKUP(TRUE, true_alt, 14, FALSE), VLOOKUP(TRUE, true_alt, 13, FALSE)))</f>
        <v>1D4+0</v>
      </c>
      <c r="O51" s="1152"/>
      <c r="P51" s="578" t="str">
        <f>IF(VLOOKUP(TRUE, true_alt, 11, FALSE)="RANGED", "Range", IF(COUNTIF(skill_select, VLOOKUP(TRUE, true_alt, 3, FALSE))=0, "", IF(VLOOKUP(VLOOKUP(TRUE, true_alt, 3, FALSE), special_search, 2, FALSE)="", "", (VLOOKUP(VLOOKUP(TRUE, true_alt, 3, FALSE), special_search, 2, FALSE)))))</f>
        <v/>
      </c>
      <c r="Q51" s="579" t="str">
        <f>IF(VLOOKUP(TRUE, true_alt, 11, FALSE)="RANGED", VLOOKUP(TRUE, true_alt, 12, FALSE)&amp;" "&amp;VLOOKUP(TRUE, true_alt, 15, FALSE), IF(COUNTIF(skill_select, VLOOKUP(TRUE, true_alt, 3, FALSE))=0, "", IF(INDEX(wp_special, MATCH(VLOOKUP(TRUE, true_alt, 3, FALSE), special_col, 0), MATCH(calc_lev-(VLOOKUP(VLOOKUP(TRUE, true_alt, 3, FALSE), wp_search, 10, FALSE))+1, special_row, 0))="", "", INDEX(wp_special, MATCH(VLOOKUP(TRUE, true_alt, 3, FALSE), special_col, 0), MATCH(calc_lev-(VLOOKUP(VLOOKUP(TRUE, true_alt, 3, FALSE), wp_search, 10, FALSE))+1, special_row, 0)))))</f>
        <v/>
      </c>
    </row>
    <row r="52" spans="1:17" ht="12.75" customHeight="1" thickBot="1" x14ac:dyDescent="0.3">
      <c r="A52" s="1259" t="s">
        <v>86</v>
      </c>
      <c r="B52" s="1260"/>
      <c r="C52" s="1261"/>
      <c r="D52" s="597" t="s">
        <v>84</v>
      </c>
      <c r="E52" s="1262" t="str">
        <f>IF(VLOOKUP(TRUE, true_armor, 2, FALSE)=0, "None", VLOOKUP(TRUE, true_armor, 2, FALSE))</f>
        <v>None</v>
      </c>
      <c r="F52" s="1219"/>
      <c r="G52" s="597" t="s">
        <v>87</v>
      </c>
      <c r="H52" s="1165" t="str">
        <f>IF(VLOOKUP(TRUE, true_armor, 3, FALSE)=0, "", VLOOKUP(TRUE, true_armor, 3, FALSE))</f>
        <v/>
      </c>
      <c r="I52" s="1166"/>
      <c r="J52" s="597" t="s">
        <v>73</v>
      </c>
      <c r="K52" s="589" t="str">
        <f>IF(VLOOKUP(TRUE, true_armor, 4, FALSE)=0, "", VLOOKUP(TRUE, true_armor, 4, FALSE))</f>
        <v/>
      </c>
      <c r="L52" s="1167" t="s">
        <v>88</v>
      </c>
      <c r="M52" s="1169"/>
      <c r="N52" s="1262" t="str">
        <f>IF(VLOOKUP(TRUE, true_armor, 5, FALSE)=0, "", VLOOKUP(TRUE, true_armor, 5, FALSE))</f>
        <v/>
      </c>
      <c r="O52" s="1218"/>
      <c r="P52" s="1218"/>
      <c r="Q52" s="1263"/>
    </row>
    <row r="53" spans="1:17" ht="3.75" customHeight="1" thickBot="1" x14ac:dyDescent="0.3">
      <c r="A53" s="1177"/>
      <c r="B53" s="1177"/>
      <c r="C53" s="1177"/>
      <c r="D53" s="1177"/>
      <c r="E53" s="1177"/>
      <c r="F53" s="1177"/>
      <c r="G53" s="1177"/>
      <c r="H53" s="1177"/>
      <c r="I53" s="1177"/>
      <c r="J53" s="1177"/>
      <c r="K53" s="1177"/>
      <c r="L53" s="1177"/>
      <c r="M53" s="1177"/>
      <c r="N53" s="1177"/>
      <c r="O53" s="1177"/>
      <c r="P53" s="1177"/>
      <c r="Q53" s="1177"/>
    </row>
    <row r="54" spans="1:17" ht="14.25" customHeight="1" thickBot="1" x14ac:dyDescent="0.3">
      <c r="A54" s="1220" t="s">
        <v>89</v>
      </c>
      <c r="B54" s="1221"/>
      <c r="C54" s="1221"/>
      <c r="D54" s="1221"/>
      <c r="E54" s="1221"/>
      <c r="F54" s="1221"/>
      <c r="G54" s="1221"/>
      <c r="H54" s="1221"/>
      <c r="I54" s="1221"/>
      <c r="J54" s="1221"/>
      <c r="K54" s="1221"/>
      <c r="L54" s="1221"/>
      <c r="M54" s="1221"/>
      <c r="N54" s="1221"/>
      <c r="O54" s="1221"/>
      <c r="P54" s="1221"/>
      <c r="Q54" s="1222"/>
    </row>
    <row r="55" spans="1:17" ht="12.75" customHeight="1" x14ac:dyDescent="0.25">
      <c r="A55" s="1250" t="str">
        <f>IF('Character Sheet'!A55="", "", 'Character Sheet'!A55)</f>
        <v/>
      </c>
      <c r="B55" s="1251"/>
      <c r="C55" s="1251"/>
      <c r="D55" s="1251"/>
      <c r="E55" s="1251"/>
      <c r="F55" s="1251"/>
      <c r="G55" s="1251"/>
      <c r="H55" s="1251"/>
      <c r="I55" s="1251"/>
      <c r="J55" s="1251"/>
      <c r="K55" s="1251"/>
      <c r="L55" s="1251"/>
      <c r="M55" s="1251"/>
      <c r="N55" s="1251"/>
      <c r="O55" s="1251"/>
      <c r="P55" s="1251"/>
      <c r="Q55" s="1252"/>
    </row>
    <row r="56" spans="1:17" ht="12.75" customHeight="1" x14ac:dyDescent="0.25">
      <c r="A56" s="1253" t="str">
        <f>IF('Character Sheet'!A56="", "", 'Character Sheet'!A56)</f>
        <v/>
      </c>
      <c r="B56" s="1161"/>
      <c r="C56" s="1161"/>
      <c r="D56" s="1161"/>
      <c r="E56" s="1161"/>
      <c r="F56" s="1161"/>
      <c r="G56" s="1161"/>
      <c r="H56" s="1161"/>
      <c r="I56" s="1161"/>
      <c r="J56" s="1161"/>
      <c r="K56" s="1161"/>
      <c r="L56" s="1161"/>
      <c r="M56" s="1161"/>
      <c r="N56" s="1161"/>
      <c r="O56" s="1161"/>
      <c r="P56" s="1161"/>
      <c r="Q56" s="1254"/>
    </row>
    <row r="57" spans="1:17" ht="12.75" customHeight="1" x14ac:dyDescent="0.25">
      <c r="A57" s="1253" t="str">
        <f>IF('Character Sheet'!A57="", "", 'Character Sheet'!A57)</f>
        <v/>
      </c>
      <c r="B57" s="1161"/>
      <c r="C57" s="1161"/>
      <c r="D57" s="1161"/>
      <c r="E57" s="1161"/>
      <c r="F57" s="1161"/>
      <c r="G57" s="1161"/>
      <c r="H57" s="1161"/>
      <c r="I57" s="1161"/>
      <c r="J57" s="1161"/>
      <c r="K57" s="1161"/>
      <c r="L57" s="1161"/>
      <c r="M57" s="1161"/>
      <c r="N57" s="1161"/>
      <c r="O57" s="1161"/>
      <c r="P57" s="1161"/>
      <c r="Q57" s="1254"/>
    </row>
    <row r="58" spans="1:17" ht="12.75" customHeight="1" x14ac:dyDescent="0.25">
      <c r="A58" s="1253" t="str">
        <f>IF('Character Sheet'!A58="", "", 'Character Sheet'!A58)</f>
        <v/>
      </c>
      <c r="B58" s="1161"/>
      <c r="C58" s="1161"/>
      <c r="D58" s="1161"/>
      <c r="E58" s="1161"/>
      <c r="F58" s="1161"/>
      <c r="G58" s="1161"/>
      <c r="H58" s="1161"/>
      <c r="I58" s="1161"/>
      <c r="J58" s="1161"/>
      <c r="K58" s="1161"/>
      <c r="L58" s="1161"/>
      <c r="M58" s="1161"/>
      <c r="N58" s="1161"/>
      <c r="O58" s="1161"/>
      <c r="P58" s="1161"/>
      <c r="Q58" s="1254"/>
    </row>
    <row r="59" spans="1:17" ht="12.75" customHeight="1" thickBot="1" x14ac:dyDescent="0.3">
      <c r="A59" s="1264" t="str">
        <f>IF('Character Sheet'!A59="", "", 'Character Sheet'!A59)</f>
        <v/>
      </c>
      <c r="B59" s="1265"/>
      <c r="C59" s="1265"/>
      <c r="D59" s="1265"/>
      <c r="E59" s="1265"/>
      <c r="F59" s="1265"/>
      <c r="G59" s="1265"/>
      <c r="H59" s="1265"/>
      <c r="I59" s="1265"/>
      <c r="J59" s="1265"/>
      <c r="K59" s="1265"/>
      <c r="L59" s="1265"/>
      <c r="M59" s="1265"/>
      <c r="N59" s="1265"/>
      <c r="O59" s="1265"/>
      <c r="P59" s="1265"/>
      <c r="Q59" s="1266"/>
    </row>
    <row r="60" spans="1:17" ht="18.75" customHeight="1" thickBot="1" x14ac:dyDescent="0.35">
      <c r="A60" s="1267" t="s">
        <v>1</v>
      </c>
      <c r="B60" s="1268"/>
      <c r="C60" s="1268"/>
      <c r="D60" s="1268"/>
      <c r="E60" s="1268"/>
      <c r="F60" s="1268"/>
      <c r="G60" s="1268"/>
      <c r="H60" s="1268"/>
      <c r="I60" s="1268"/>
      <c r="J60" s="1268"/>
      <c r="K60" s="1268"/>
      <c r="L60" s="1268"/>
      <c r="M60" s="1268"/>
      <c r="N60" s="1268"/>
      <c r="O60" s="1268"/>
      <c r="P60" s="1268"/>
      <c r="Q60" s="1269"/>
    </row>
    <row r="61" spans="1:17" ht="3" customHeight="1" thickBot="1" x14ac:dyDescent="0.4">
      <c r="A61" s="1270"/>
      <c r="B61" s="1270"/>
      <c r="C61" s="1270"/>
      <c r="D61" s="1270"/>
      <c r="E61" s="1270"/>
      <c r="F61" s="1270"/>
      <c r="G61" s="1270"/>
      <c r="H61" s="1270"/>
      <c r="I61" s="1270"/>
      <c r="J61" s="1270"/>
      <c r="K61" s="1270"/>
      <c r="L61" s="1270"/>
      <c r="M61" s="1270"/>
      <c r="N61" s="1270"/>
      <c r="O61" s="1270"/>
      <c r="P61" s="1270"/>
      <c r="Q61" s="1270"/>
    </row>
    <row r="62" spans="1:17" ht="14.25" customHeight="1" thickBot="1" x14ac:dyDescent="0.3">
      <c r="A62" s="1142" t="s">
        <v>90</v>
      </c>
      <c r="B62" s="1143"/>
      <c r="C62" s="1143"/>
      <c r="D62" s="1143"/>
      <c r="E62" s="1143"/>
      <c r="F62" s="1143"/>
      <c r="G62" s="1144"/>
      <c r="H62" s="1271"/>
      <c r="I62" s="1220" t="s">
        <v>91</v>
      </c>
      <c r="J62" s="1221"/>
      <c r="K62" s="1221"/>
      <c r="L62" s="1221"/>
      <c r="M62" s="1221"/>
      <c r="N62" s="1221"/>
      <c r="O62" s="1221"/>
      <c r="P62" s="1221"/>
      <c r="Q62" s="1222"/>
    </row>
    <row r="63" spans="1:17" ht="12.75" customHeight="1" thickBot="1" x14ac:dyDescent="0.3">
      <c r="A63" s="1188" t="s">
        <v>92</v>
      </c>
      <c r="B63" s="1189"/>
      <c r="C63" s="1189"/>
      <c r="D63" s="1189"/>
      <c r="E63" s="1189"/>
      <c r="F63" s="1189"/>
      <c r="G63" s="1273"/>
      <c r="H63" s="1271"/>
      <c r="I63" s="1274" t="s">
        <v>93</v>
      </c>
      <c r="J63" s="1275"/>
      <c r="K63" s="1275"/>
      <c r="L63" s="1275"/>
      <c r="M63" s="609" t="s">
        <v>94</v>
      </c>
      <c r="N63" s="1275" t="s">
        <v>95</v>
      </c>
      <c r="O63" s="1275"/>
      <c r="P63" s="609" t="s">
        <v>96</v>
      </c>
      <c r="Q63" s="610" t="s">
        <v>27</v>
      </c>
    </row>
    <row r="64" spans="1:17" ht="12.75" customHeight="1" x14ac:dyDescent="0.25">
      <c r="A64" s="1276" t="str">
        <f>IF('Character Sheet'!A64="", "", 'Character Sheet'!A64)</f>
        <v/>
      </c>
      <c r="B64" s="1277"/>
      <c r="C64" s="1279" t="s">
        <v>747</v>
      </c>
      <c r="D64" s="1279"/>
      <c r="E64" s="1279"/>
      <c r="F64" s="1279"/>
      <c r="G64" s="1280"/>
      <c r="H64" s="1272"/>
      <c r="I64" s="1250" t="str">
        <f>IF('Character Sheet'!I64="", "", 'Character Sheet'!I64)</f>
        <v/>
      </c>
      <c r="J64" s="1251"/>
      <c r="K64" s="1251"/>
      <c r="L64" s="1251"/>
      <c r="M64" s="611" t="str">
        <f>IF('Character Sheet'!M64="", "", 'Character Sheet'!M64)</f>
        <v/>
      </c>
      <c r="N64" s="1251" t="str">
        <f>IF('Character Sheet'!N64="", "", 'Character Sheet'!N64)</f>
        <v/>
      </c>
      <c r="O64" s="1251"/>
      <c r="P64" s="570" t="str">
        <f>IF('Character Sheet'!P64="", "", 'Character Sheet'!P64)</f>
        <v/>
      </c>
      <c r="Q64" s="559" t="str">
        <f>IF('Character Sheet'!Q64="", "", 'Character Sheet'!Q64)</f>
        <v/>
      </c>
    </row>
    <row r="65" spans="1:17" ht="12.75" customHeight="1" x14ac:dyDescent="0.25">
      <c r="A65" s="1276" t="str">
        <f>IF('Character Sheet'!A65="", "", 'Character Sheet'!A65)</f>
        <v/>
      </c>
      <c r="B65" s="1277"/>
      <c r="C65" s="1278" t="s">
        <v>741</v>
      </c>
      <c r="D65" s="1278"/>
      <c r="E65" s="1278"/>
      <c r="F65" s="1278"/>
      <c r="G65" s="1160"/>
      <c r="H65" s="1272"/>
      <c r="I65" s="1253" t="str">
        <f>IF('Character Sheet'!I65="", "", 'Character Sheet'!I65)</f>
        <v/>
      </c>
      <c r="J65" s="1161"/>
      <c r="K65" s="1161"/>
      <c r="L65" s="1161"/>
      <c r="M65" s="580" t="str">
        <f>IF('Character Sheet'!M65="", "", 'Character Sheet'!M65)</f>
        <v/>
      </c>
      <c r="N65" s="1161" t="str">
        <f>IF('Character Sheet'!N65="", "", 'Character Sheet'!N65)</f>
        <v/>
      </c>
      <c r="O65" s="1161"/>
      <c r="P65" s="572" t="str">
        <f>IF('Character Sheet'!P65="", "", 'Character Sheet'!P65)</f>
        <v/>
      </c>
      <c r="Q65" s="616" t="str">
        <f>IF('Character Sheet'!Q65="", "", 'Character Sheet'!Q65)</f>
        <v/>
      </c>
    </row>
    <row r="66" spans="1:17" ht="12.75" customHeight="1" x14ac:dyDescent="0.25">
      <c r="A66" s="1276" t="str">
        <f>IF('Character Sheet'!A66="", "", 'Character Sheet'!A66)</f>
        <v/>
      </c>
      <c r="B66" s="1277"/>
      <c r="C66" s="1278" t="s">
        <v>742</v>
      </c>
      <c r="D66" s="1278"/>
      <c r="E66" s="1278"/>
      <c r="F66" s="1278"/>
      <c r="G66" s="1160"/>
      <c r="H66" s="1272"/>
      <c r="I66" s="1253" t="str">
        <f>IF('Character Sheet'!I66="", "", 'Character Sheet'!I66)</f>
        <v/>
      </c>
      <c r="J66" s="1161"/>
      <c r="K66" s="1161"/>
      <c r="L66" s="1161"/>
      <c r="M66" s="580" t="str">
        <f>IF('Character Sheet'!M66="", "", 'Character Sheet'!M66)</f>
        <v/>
      </c>
      <c r="N66" s="1161" t="str">
        <f>IF('Character Sheet'!N66="", "", 'Character Sheet'!N66)</f>
        <v/>
      </c>
      <c r="O66" s="1161"/>
      <c r="P66" s="572" t="str">
        <f>IF('Character Sheet'!P66="", "", 'Character Sheet'!P66)</f>
        <v/>
      </c>
      <c r="Q66" s="616" t="str">
        <f>IF('Character Sheet'!Q66="", "", 'Character Sheet'!Q66)</f>
        <v/>
      </c>
    </row>
    <row r="67" spans="1:17" ht="12.75" customHeight="1" x14ac:dyDescent="0.25">
      <c r="A67" s="1276" t="str">
        <f>IF('Character Sheet'!A67="", "", 'Character Sheet'!A67)</f>
        <v/>
      </c>
      <c r="B67" s="1277"/>
      <c r="C67" s="1278" t="s">
        <v>743</v>
      </c>
      <c r="D67" s="1278"/>
      <c r="E67" s="1278"/>
      <c r="F67" s="1278"/>
      <c r="G67" s="1160"/>
      <c r="H67" s="1272"/>
      <c r="I67" s="1253" t="str">
        <f>IF('Character Sheet'!I67="", "", 'Character Sheet'!I67)</f>
        <v/>
      </c>
      <c r="J67" s="1161"/>
      <c r="K67" s="1161"/>
      <c r="L67" s="1161"/>
      <c r="M67" s="580" t="str">
        <f>IF('Character Sheet'!M67="", "", 'Character Sheet'!M67)</f>
        <v/>
      </c>
      <c r="N67" s="1161" t="str">
        <f>IF('Character Sheet'!N67="", "", 'Character Sheet'!N67)</f>
        <v/>
      </c>
      <c r="O67" s="1161"/>
      <c r="P67" s="572" t="str">
        <f>IF('Character Sheet'!P67="", "", 'Character Sheet'!P67)</f>
        <v/>
      </c>
      <c r="Q67" s="616" t="str">
        <f>IF('Character Sheet'!Q67="", "", 'Character Sheet'!Q67)</f>
        <v/>
      </c>
    </row>
    <row r="68" spans="1:17" ht="12.75" customHeight="1" x14ac:dyDescent="0.25">
      <c r="A68" s="1276" t="str">
        <f>IF('Character Sheet'!A68="", "", 'Character Sheet'!A68)</f>
        <v/>
      </c>
      <c r="B68" s="1277"/>
      <c r="C68" s="1278" t="s">
        <v>744</v>
      </c>
      <c r="D68" s="1278"/>
      <c r="E68" s="1278"/>
      <c r="F68" s="1278"/>
      <c r="G68" s="1160"/>
      <c r="H68" s="1272"/>
      <c r="I68" s="1253" t="str">
        <f>IF('Character Sheet'!I68="", "", 'Character Sheet'!I68)</f>
        <v/>
      </c>
      <c r="J68" s="1161"/>
      <c r="K68" s="1161"/>
      <c r="L68" s="1161"/>
      <c r="M68" s="580" t="str">
        <f>IF('Character Sheet'!M68="", "", 'Character Sheet'!M68)</f>
        <v/>
      </c>
      <c r="N68" s="1161" t="str">
        <f>IF('Character Sheet'!N68="", "", 'Character Sheet'!N68)</f>
        <v/>
      </c>
      <c r="O68" s="1161"/>
      <c r="P68" s="572" t="str">
        <f>IF('Character Sheet'!P68="", "", 'Character Sheet'!P68)</f>
        <v/>
      </c>
      <c r="Q68" s="616" t="str">
        <f>IF('Character Sheet'!Q68="", "", 'Character Sheet'!Q68)</f>
        <v/>
      </c>
    </row>
    <row r="69" spans="1:17" ht="12.75" customHeight="1" x14ac:dyDescent="0.25">
      <c r="A69" s="1276" t="str">
        <f>IF('Character Sheet'!A69="", "", 'Character Sheet'!A69)</f>
        <v/>
      </c>
      <c r="B69" s="1277"/>
      <c r="C69" s="1278" t="s">
        <v>745</v>
      </c>
      <c r="D69" s="1278"/>
      <c r="E69" s="1278"/>
      <c r="F69" s="1278"/>
      <c r="G69" s="1160"/>
      <c r="H69" s="1272"/>
      <c r="I69" s="1253" t="str">
        <f>IF('Character Sheet'!I69="", "", 'Character Sheet'!I69)</f>
        <v/>
      </c>
      <c r="J69" s="1161"/>
      <c r="K69" s="1161"/>
      <c r="L69" s="1161"/>
      <c r="M69" s="580" t="str">
        <f>IF('Character Sheet'!M69="", "", 'Character Sheet'!M69)</f>
        <v/>
      </c>
      <c r="N69" s="1161" t="str">
        <f>IF('Character Sheet'!N69="", "", 'Character Sheet'!N69)</f>
        <v/>
      </c>
      <c r="O69" s="1161"/>
      <c r="P69" s="572" t="str">
        <f>IF('Character Sheet'!P69="", "", 'Character Sheet'!P69)</f>
        <v/>
      </c>
      <c r="Q69" s="616" t="str">
        <f>IF('Character Sheet'!Q69="", "", 'Character Sheet'!Q69)</f>
        <v/>
      </c>
    </row>
    <row r="70" spans="1:17" ht="12.75" customHeight="1" x14ac:dyDescent="0.25">
      <c r="A70" s="1276" t="str">
        <f>IF('Character Sheet'!A70="", "", 'Character Sheet'!A70)</f>
        <v/>
      </c>
      <c r="B70" s="1277"/>
      <c r="C70" s="1278" t="s">
        <v>739</v>
      </c>
      <c r="D70" s="1278"/>
      <c r="E70" s="1278"/>
      <c r="F70" s="1278"/>
      <c r="G70" s="1160"/>
      <c r="H70" s="1272"/>
      <c r="I70" s="1253" t="str">
        <f>IF('Character Sheet'!I70="", "", 'Character Sheet'!I70)</f>
        <v/>
      </c>
      <c r="J70" s="1161"/>
      <c r="K70" s="1161"/>
      <c r="L70" s="1161"/>
      <c r="M70" s="580" t="str">
        <f>IF('Character Sheet'!M70="", "", 'Character Sheet'!M70)</f>
        <v/>
      </c>
      <c r="N70" s="1161" t="str">
        <f>IF('Character Sheet'!N70="", "", 'Character Sheet'!N70)</f>
        <v/>
      </c>
      <c r="O70" s="1161"/>
      <c r="P70" s="572" t="str">
        <f>IF('Character Sheet'!P70="", "", 'Character Sheet'!P70)</f>
        <v/>
      </c>
      <c r="Q70" s="616" t="str">
        <f>IF('Character Sheet'!Q70="", "", 'Character Sheet'!Q70)</f>
        <v/>
      </c>
    </row>
    <row r="71" spans="1:17" ht="12.75" customHeight="1" x14ac:dyDescent="0.25">
      <c r="A71" s="1276" t="str">
        <f>IF('Character Sheet'!A71="", "", 'Character Sheet'!A71)</f>
        <v/>
      </c>
      <c r="B71" s="1277"/>
      <c r="C71" s="1278" t="s">
        <v>738</v>
      </c>
      <c r="D71" s="1278"/>
      <c r="E71" s="1278"/>
      <c r="F71" s="1278"/>
      <c r="G71" s="1160"/>
      <c r="H71" s="1272"/>
      <c r="I71" s="1253" t="str">
        <f>IF('Character Sheet'!I71="", "", 'Character Sheet'!I71)</f>
        <v/>
      </c>
      <c r="J71" s="1161"/>
      <c r="K71" s="1161"/>
      <c r="L71" s="1161"/>
      <c r="M71" s="580" t="str">
        <f>IF('Character Sheet'!M71="", "", 'Character Sheet'!M71)</f>
        <v/>
      </c>
      <c r="N71" s="1161" t="str">
        <f>IF('Character Sheet'!N71="", "", 'Character Sheet'!N71)</f>
        <v/>
      </c>
      <c r="O71" s="1161"/>
      <c r="P71" s="572" t="str">
        <f>IF('Character Sheet'!P71="", "", 'Character Sheet'!P71)</f>
        <v/>
      </c>
      <c r="Q71" s="616" t="str">
        <f>IF('Character Sheet'!Q71="", "", 'Character Sheet'!Q71)</f>
        <v/>
      </c>
    </row>
    <row r="72" spans="1:17" ht="12.75" customHeight="1" x14ac:dyDescent="0.25">
      <c r="A72" s="1276" t="str">
        <f>IF('Character Sheet'!A72="", "", 'Character Sheet'!A72)</f>
        <v/>
      </c>
      <c r="B72" s="1277"/>
      <c r="C72" s="1278" t="s">
        <v>737</v>
      </c>
      <c r="D72" s="1278"/>
      <c r="E72" s="1278"/>
      <c r="F72" s="1278"/>
      <c r="G72" s="1160"/>
      <c r="H72" s="1272"/>
      <c r="I72" s="1253" t="str">
        <f>IF('Character Sheet'!I72="", "", 'Character Sheet'!I72)</f>
        <v/>
      </c>
      <c r="J72" s="1161"/>
      <c r="K72" s="1161"/>
      <c r="L72" s="1161"/>
      <c r="M72" s="580" t="str">
        <f>IF('Character Sheet'!M72="", "", 'Character Sheet'!M72)</f>
        <v/>
      </c>
      <c r="N72" s="1161" t="str">
        <f>IF('Character Sheet'!N72="", "", 'Character Sheet'!N72)</f>
        <v/>
      </c>
      <c r="O72" s="1161"/>
      <c r="P72" s="572" t="str">
        <f>IF('Character Sheet'!P72="", "", 'Character Sheet'!P72)</f>
        <v/>
      </c>
      <c r="Q72" s="616" t="str">
        <f>IF('Character Sheet'!Q72="", "", 'Character Sheet'!Q72)</f>
        <v/>
      </c>
    </row>
    <row r="73" spans="1:17" ht="12.75" customHeight="1" thickBot="1" x14ac:dyDescent="0.3">
      <c r="A73" s="1276" t="str">
        <f>IF('Character Sheet'!A73="", "", 'Character Sheet'!A73)</f>
        <v/>
      </c>
      <c r="B73" s="1277"/>
      <c r="C73" s="1286" t="s">
        <v>740</v>
      </c>
      <c r="D73" s="1286"/>
      <c r="E73" s="1286"/>
      <c r="F73" s="1286"/>
      <c r="G73" s="1170"/>
      <c r="H73" s="1272"/>
      <c r="I73" s="1253" t="str">
        <f>IF('Character Sheet'!I73="", "", 'Character Sheet'!I73)</f>
        <v/>
      </c>
      <c r="J73" s="1161"/>
      <c r="K73" s="1161"/>
      <c r="L73" s="1161"/>
      <c r="M73" s="580" t="str">
        <f>IF('Character Sheet'!M73="", "", 'Character Sheet'!M73)</f>
        <v/>
      </c>
      <c r="N73" s="1161" t="str">
        <f>IF('Character Sheet'!N73="", "", 'Character Sheet'!N73)</f>
        <v/>
      </c>
      <c r="O73" s="1161"/>
      <c r="P73" s="572" t="str">
        <f>IF('Character Sheet'!P73="", "", 'Character Sheet'!P73)</f>
        <v/>
      </c>
      <c r="Q73" s="616" t="str">
        <f>IF('Character Sheet'!Q73="", "", 'Character Sheet'!Q73)</f>
        <v/>
      </c>
    </row>
    <row r="74" spans="1:17" ht="12.75" customHeight="1" thickBot="1" x14ac:dyDescent="0.3">
      <c r="A74" s="1281">
        <f>SUM(A64:A73)</f>
        <v>0</v>
      </c>
      <c r="B74" s="1282"/>
      <c r="C74" s="1283" t="s">
        <v>746</v>
      </c>
      <c r="D74" s="1283"/>
      <c r="E74" s="1283"/>
      <c r="F74" s="1283"/>
      <c r="G74" s="1284"/>
      <c r="H74" s="1272"/>
      <c r="I74" s="1253" t="str">
        <f>IF('Character Sheet'!I74="", "", 'Character Sheet'!I74)</f>
        <v/>
      </c>
      <c r="J74" s="1161"/>
      <c r="K74" s="1161"/>
      <c r="L74" s="1161"/>
      <c r="M74" s="580" t="str">
        <f>IF('Character Sheet'!M74="", "", 'Character Sheet'!M74)</f>
        <v/>
      </c>
      <c r="N74" s="1161" t="str">
        <f>IF('Character Sheet'!N74="", "", 'Character Sheet'!N74)</f>
        <v/>
      </c>
      <c r="O74" s="1161"/>
      <c r="P74" s="572" t="str">
        <f>IF('Character Sheet'!P74="", "", 'Character Sheet'!P74)</f>
        <v/>
      </c>
      <c r="Q74" s="616" t="str">
        <f>IF('Character Sheet'!Q74="", "", 'Character Sheet'!Q74)</f>
        <v/>
      </c>
    </row>
    <row r="75" spans="1:17" ht="12.75" customHeight="1" thickBot="1" x14ac:dyDescent="0.3">
      <c r="A75" s="1191" t="s">
        <v>97</v>
      </c>
      <c r="B75" s="1192"/>
      <c r="C75" s="1192"/>
      <c r="D75" s="1192"/>
      <c r="E75" s="1192"/>
      <c r="F75" s="1192"/>
      <c r="G75" s="1285"/>
      <c r="H75" s="1272"/>
      <c r="I75" s="1253" t="str">
        <f>IF('Character Sheet'!I75="", "", 'Character Sheet'!I75)</f>
        <v/>
      </c>
      <c r="J75" s="1161"/>
      <c r="K75" s="1161"/>
      <c r="L75" s="1161"/>
      <c r="M75" s="580" t="str">
        <f>IF('Character Sheet'!M75="", "", 'Character Sheet'!M75)</f>
        <v/>
      </c>
      <c r="N75" s="1161" t="str">
        <f>IF('Character Sheet'!N75="", "", 'Character Sheet'!N75)</f>
        <v/>
      </c>
      <c r="O75" s="1161"/>
      <c r="P75" s="572" t="str">
        <f>IF('Character Sheet'!P75="", "", 'Character Sheet'!P75)</f>
        <v/>
      </c>
      <c r="Q75" s="616" t="str">
        <f>IF('Character Sheet'!Q75="", "", 'Character Sheet'!Q75)</f>
        <v/>
      </c>
    </row>
    <row r="76" spans="1:17" ht="12.75" customHeight="1" x14ac:dyDescent="0.25">
      <c r="A76" s="581" t="str">
        <f>IF('Character Sheet'!A76="", "", 'Character Sheet'!A76)</f>
        <v/>
      </c>
      <c r="B76" s="1279" t="str">
        <f>IF('Character Sheet'!B76="", "", 'Character Sheet'!B76)</f>
        <v/>
      </c>
      <c r="C76" s="1279"/>
      <c r="D76" s="1239"/>
      <c r="E76" s="581" t="str">
        <f>IF('Character Sheet'!E76="", "", 'Character Sheet'!E76)</f>
        <v/>
      </c>
      <c r="F76" s="1279" t="str">
        <f>IF('Character Sheet'!F76="", "", 'Character Sheet'!F76)</f>
        <v/>
      </c>
      <c r="G76" s="1280"/>
      <c r="H76" s="1272"/>
      <c r="I76" s="1253" t="str">
        <f>IF('Character Sheet'!I76="", "", 'Character Sheet'!I76)</f>
        <v/>
      </c>
      <c r="J76" s="1161"/>
      <c r="K76" s="1161"/>
      <c r="L76" s="1161"/>
      <c r="M76" s="580" t="str">
        <f>IF('Character Sheet'!M76="", "", 'Character Sheet'!M76)</f>
        <v/>
      </c>
      <c r="N76" s="1161" t="str">
        <f>IF('Character Sheet'!N76="", "", 'Character Sheet'!N76)</f>
        <v/>
      </c>
      <c r="O76" s="1161"/>
      <c r="P76" s="572" t="str">
        <f>IF('Character Sheet'!P76="", "", 'Character Sheet'!P76)</f>
        <v/>
      </c>
      <c r="Q76" s="616" t="str">
        <f>IF('Character Sheet'!Q76="", "", 'Character Sheet'!Q76)</f>
        <v/>
      </c>
    </row>
    <row r="77" spans="1:17" ht="12.75" customHeight="1" x14ac:dyDescent="0.25">
      <c r="A77" s="581" t="str">
        <f>IF('Character Sheet'!A77="", "", 'Character Sheet'!A77)</f>
        <v/>
      </c>
      <c r="B77" s="1279" t="str">
        <f>IF('Character Sheet'!B77="", "", 'Character Sheet'!B77)</f>
        <v/>
      </c>
      <c r="C77" s="1279"/>
      <c r="D77" s="1239"/>
      <c r="E77" s="581" t="str">
        <f>IF('Character Sheet'!E77="", "", 'Character Sheet'!E77)</f>
        <v/>
      </c>
      <c r="F77" s="1279" t="str">
        <f>IF('Character Sheet'!F77="", "", 'Character Sheet'!F77)</f>
        <v/>
      </c>
      <c r="G77" s="1280"/>
      <c r="H77" s="1272"/>
      <c r="I77" s="1253" t="str">
        <f>IF('Character Sheet'!I77="", "", 'Character Sheet'!I77)</f>
        <v/>
      </c>
      <c r="J77" s="1161"/>
      <c r="K77" s="1161"/>
      <c r="L77" s="1161"/>
      <c r="M77" s="580" t="str">
        <f>IF('Character Sheet'!M77="", "", 'Character Sheet'!M77)</f>
        <v/>
      </c>
      <c r="N77" s="1161" t="str">
        <f>IF('Character Sheet'!N77="", "", 'Character Sheet'!N77)</f>
        <v/>
      </c>
      <c r="O77" s="1161"/>
      <c r="P77" s="572" t="str">
        <f>IF('Character Sheet'!P77="", "", 'Character Sheet'!P77)</f>
        <v/>
      </c>
      <c r="Q77" s="616" t="str">
        <f>IF('Character Sheet'!Q77="", "", 'Character Sheet'!Q77)</f>
        <v/>
      </c>
    </row>
    <row r="78" spans="1:17" ht="12.75" customHeight="1" x14ac:dyDescent="0.25">
      <c r="A78" s="581" t="str">
        <f>IF('Character Sheet'!A78="", "", 'Character Sheet'!A78)</f>
        <v/>
      </c>
      <c r="B78" s="1279" t="str">
        <f>IF('Character Sheet'!B78="", "", 'Character Sheet'!B78)</f>
        <v/>
      </c>
      <c r="C78" s="1279"/>
      <c r="D78" s="1239"/>
      <c r="E78" s="581" t="str">
        <f>IF('Character Sheet'!E78="", "", 'Character Sheet'!E78)</f>
        <v/>
      </c>
      <c r="F78" s="1279" t="str">
        <f>IF('Character Sheet'!F78="", "", 'Character Sheet'!F78)</f>
        <v/>
      </c>
      <c r="G78" s="1280"/>
      <c r="H78" s="1272"/>
      <c r="I78" s="1253" t="str">
        <f>IF('Character Sheet'!I78="", "", 'Character Sheet'!I78)</f>
        <v/>
      </c>
      <c r="J78" s="1161"/>
      <c r="K78" s="1161"/>
      <c r="L78" s="1161"/>
      <c r="M78" s="580" t="str">
        <f>IF('Character Sheet'!M78="", "", 'Character Sheet'!M78)</f>
        <v/>
      </c>
      <c r="N78" s="1161" t="str">
        <f>IF('Character Sheet'!N78="", "", 'Character Sheet'!N78)</f>
        <v/>
      </c>
      <c r="O78" s="1161"/>
      <c r="P78" s="572" t="str">
        <f>IF('Character Sheet'!P78="", "", 'Character Sheet'!P78)</f>
        <v/>
      </c>
      <c r="Q78" s="616" t="str">
        <f>IF('Character Sheet'!Q78="", "", 'Character Sheet'!Q78)</f>
        <v/>
      </c>
    </row>
    <row r="79" spans="1:17" ht="12.75" customHeight="1" x14ac:dyDescent="0.25">
      <c r="A79" s="581" t="str">
        <f>IF('Character Sheet'!A79="", "", 'Character Sheet'!A79)</f>
        <v/>
      </c>
      <c r="B79" s="1279" t="str">
        <f>IF('Character Sheet'!B79="", "", 'Character Sheet'!B79)</f>
        <v/>
      </c>
      <c r="C79" s="1279"/>
      <c r="D79" s="1239"/>
      <c r="E79" s="581" t="str">
        <f>IF('Character Sheet'!E79="", "", 'Character Sheet'!E79)</f>
        <v/>
      </c>
      <c r="F79" s="1279" t="str">
        <f>IF('Character Sheet'!F79="", "", 'Character Sheet'!F79)</f>
        <v/>
      </c>
      <c r="G79" s="1280"/>
      <c r="H79" s="1272"/>
      <c r="I79" s="1253" t="str">
        <f>IF('Character Sheet'!I79="", "", 'Character Sheet'!I79)</f>
        <v/>
      </c>
      <c r="J79" s="1161"/>
      <c r="K79" s="1161"/>
      <c r="L79" s="1161"/>
      <c r="M79" s="580" t="str">
        <f>IF('Character Sheet'!M79="", "", 'Character Sheet'!M79)</f>
        <v/>
      </c>
      <c r="N79" s="1161" t="str">
        <f>IF('Character Sheet'!N79="", "", 'Character Sheet'!N79)</f>
        <v/>
      </c>
      <c r="O79" s="1161"/>
      <c r="P79" s="572" t="str">
        <f>IF('Character Sheet'!P79="", "", 'Character Sheet'!P79)</f>
        <v/>
      </c>
      <c r="Q79" s="616" t="str">
        <f>IF('Character Sheet'!Q79="", "", 'Character Sheet'!Q79)</f>
        <v/>
      </c>
    </row>
    <row r="80" spans="1:17" ht="12.75" customHeight="1" x14ac:dyDescent="0.25">
      <c r="A80" s="581" t="str">
        <f>IF('Character Sheet'!A80="", "", 'Character Sheet'!A80)</f>
        <v/>
      </c>
      <c r="B80" s="1279" t="str">
        <f>IF('Character Sheet'!B80="", "", 'Character Sheet'!B80)</f>
        <v/>
      </c>
      <c r="C80" s="1279"/>
      <c r="D80" s="1239"/>
      <c r="E80" s="581" t="str">
        <f>IF('Character Sheet'!E80="", "", 'Character Sheet'!E80)</f>
        <v/>
      </c>
      <c r="F80" s="1279" t="str">
        <f>IF('Character Sheet'!F80="", "", 'Character Sheet'!F80)</f>
        <v/>
      </c>
      <c r="G80" s="1280"/>
      <c r="H80" s="1272"/>
      <c r="I80" s="1253" t="str">
        <f>IF('Character Sheet'!I80="", "", 'Character Sheet'!I80)</f>
        <v/>
      </c>
      <c r="J80" s="1161"/>
      <c r="K80" s="1161"/>
      <c r="L80" s="1161"/>
      <c r="M80" s="580" t="str">
        <f>IF('Character Sheet'!M80="", "", 'Character Sheet'!M80)</f>
        <v/>
      </c>
      <c r="N80" s="1161" t="str">
        <f>IF('Character Sheet'!N80="", "", 'Character Sheet'!N80)</f>
        <v/>
      </c>
      <c r="O80" s="1161"/>
      <c r="P80" s="572" t="str">
        <f>IF('Character Sheet'!P80="", "", 'Character Sheet'!P80)</f>
        <v/>
      </c>
      <c r="Q80" s="616" t="str">
        <f>IF('Character Sheet'!Q80="", "", 'Character Sheet'!Q80)</f>
        <v/>
      </c>
    </row>
    <row r="81" spans="1:17" ht="12.75" customHeight="1" x14ac:dyDescent="0.25">
      <c r="A81" s="581" t="str">
        <f>IF('Character Sheet'!A81="", "", 'Character Sheet'!A81)</f>
        <v/>
      </c>
      <c r="B81" s="1279" t="str">
        <f>IF('Character Sheet'!B81="", "", 'Character Sheet'!B81)</f>
        <v/>
      </c>
      <c r="C81" s="1279"/>
      <c r="D81" s="1239"/>
      <c r="E81" s="581" t="str">
        <f>IF('Character Sheet'!E81="", "", 'Character Sheet'!E81)</f>
        <v/>
      </c>
      <c r="F81" s="1279" t="str">
        <f>IF('Character Sheet'!F81="", "", 'Character Sheet'!F81)</f>
        <v/>
      </c>
      <c r="G81" s="1280"/>
      <c r="H81" s="1272"/>
      <c r="I81" s="1253" t="str">
        <f>IF('Character Sheet'!I81="", "", 'Character Sheet'!I81)</f>
        <v/>
      </c>
      <c r="J81" s="1161"/>
      <c r="K81" s="1161"/>
      <c r="L81" s="1161"/>
      <c r="M81" s="580" t="str">
        <f>IF('Character Sheet'!M81="", "", 'Character Sheet'!M81)</f>
        <v/>
      </c>
      <c r="N81" s="1161" t="str">
        <f>IF('Character Sheet'!N81="", "", 'Character Sheet'!N81)</f>
        <v/>
      </c>
      <c r="O81" s="1161"/>
      <c r="P81" s="572" t="str">
        <f>IF('Character Sheet'!P81="", "", 'Character Sheet'!P81)</f>
        <v/>
      </c>
      <c r="Q81" s="616" t="str">
        <f>IF('Character Sheet'!Q81="", "", 'Character Sheet'!Q81)</f>
        <v/>
      </c>
    </row>
    <row r="82" spans="1:17" ht="12.75" customHeight="1" thickBot="1" x14ac:dyDescent="0.3">
      <c r="A82" s="581" t="str">
        <f>IF('Character Sheet'!A82="", "", 'Character Sheet'!A82)</f>
        <v/>
      </c>
      <c r="B82" s="1279" t="str">
        <f>IF('Character Sheet'!B82="", "", 'Character Sheet'!B82)</f>
        <v/>
      </c>
      <c r="C82" s="1279"/>
      <c r="D82" s="1239"/>
      <c r="E82" s="581" t="str">
        <f>IF('Character Sheet'!E82="", "", 'Character Sheet'!E82)</f>
        <v/>
      </c>
      <c r="F82" s="1279" t="str">
        <f>IF('Character Sheet'!F82="", "", 'Character Sheet'!F82)</f>
        <v/>
      </c>
      <c r="G82" s="1280"/>
      <c r="H82" s="1272"/>
      <c r="I82" s="1253" t="str">
        <f>IF('Character Sheet'!I82="", "", 'Character Sheet'!I82)</f>
        <v/>
      </c>
      <c r="J82" s="1161"/>
      <c r="K82" s="1161"/>
      <c r="L82" s="1161"/>
      <c r="M82" s="580" t="str">
        <f>IF('Character Sheet'!M82="", "", 'Character Sheet'!M82)</f>
        <v/>
      </c>
      <c r="N82" s="1161" t="str">
        <f>IF('Character Sheet'!N82="", "", 'Character Sheet'!N82)</f>
        <v/>
      </c>
      <c r="O82" s="1161"/>
      <c r="P82" s="572" t="str">
        <f>IF('Character Sheet'!P82="", "", 'Character Sheet'!P82)</f>
        <v/>
      </c>
      <c r="Q82" s="616" t="str">
        <f>IF('Character Sheet'!Q82="", "", 'Character Sheet'!Q82)</f>
        <v/>
      </c>
    </row>
    <row r="83" spans="1:17" ht="12.75" customHeight="1" thickBot="1" x14ac:dyDescent="0.3">
      <c r="A83" s="1191" t="s">
        <v>98</v>
      </c>
      <c r="B83" s="1192"/>
      <c r="C83" s="1192"/>
      <c r="D83" s="1192"/>
      <c r="E83" s="1192"/>
      <c r="F83" s="1192"/>
      <c r="G83" s="1285"/>
      <c r="H83" s="1272"/>
      <c r="I83" s="1253" t="str">
        <f>IF('Character Sheet'!I83="", "", 'Character Sheet'!I83)</f>
        <v/>
      </c>
      <c r="J83" s="1161"/>
      <c r="K83" s="1161"/>
      <c r="L83" s="1161"/>
      <c r="M83" s="580" t="str">
        <f>IF('Character Sheet'!M83="", "", 'Character Sheet'!M83)</f>
        <v/>
      </c>
      <c r="N83" s="1161" t="str">
        <f>IF('Character Sheet'!N83="", "", 'Character Sheet'!N83)</f>
        <v/>
      </c>
      <c r="O83" s="1161"/>
      <c r="P83" s="572" t="str">
        <f>IF('Character Sheet'!P83="", "", 'Character Sheet'!P83)</f>
        <v/>
      </c>
      <c r="Q83" s="616" t="str">
        <f>IF('Character Sheet'!Q83="", "", 'Character Sheet'!Q83)</f>
        <v/>
      </c>
    </row>
    <row r="84" spans="1:17" ht="12.75" customHeight="1" x14ac:dyDescent="0.25">
      <c r="A84" s="1287" t="str">
        <f>IF('Character Sheet'!A84="", "", 'Character Sheet'!A84)</f>
        <v/>
      </c>
      <c r="B84" s="1147"/>
      <c r="C84" s="1147"/>
      <c r="D84" s="1147"/>
      <c r="E84" s="1147"/>
      <c r="F84" s="1147"/>
      <c r="G84" s="1148"/>
      <c r="H84" s="1272"/>
      <c r="I84" s="1253" t="str">
        <f>IF('Character Sheet'!I84="", "", 'Character Sheet'!I84)</f>
        <v/>
      </c>
      <c r="J84" s="1161"/>
      <c r="K84" s="1161"/>
      <c r="L84" s="1161"/>
      <c r="M84" s="580" t="str">
        <f>IF('Character Sheet'!M84="", "", 'Character Sheet'!M84)</f>
        <v/>
      </c>
      <c r="N84" s="1161" t="str">
        <f>IF('Character Sheet'!N84="", "", 'Character Sheet'!N84)</f>
        <v/>
      </c>
      <c r="O84" s="1161"/>
      <c r="P84" s="572" t="str">
        <f>IF('Character Sheet'!P84="", "", 'Character Sheet'!P84)</f>
        <v/>
      </c>
      <c r="Q84" s="616" t="str">
        <f>IF('Character Sheet'!Q84="", "", 'Character Sheet'!Q84)</f>
        <v/>
      </c>
    </row>
    <row r="85" spans="1:17" ht="12.75" customHeight="1" x14ac:dyDescent="0.25">
      <c r="A85" s="1287" t="str">
        <f>IF('Character Sheet'!A85="", "", 'Character Sheet'!A85)</f>
        <v/>
      </c>
      <c r="B85" s="1147"/>
      <c r="C85" s="1147"/>
      <c r="D85" s="1147"/>
      <c r="E85" s="1147"/>
      <c r="F85" s="1147"/>
      <c r="G85" s="1148"/>
      <c r="H85" s="1272"/>
      <c r="I85" s="1253" t="str">
        <f>IF('Character Sheet'!I85="", "", 'Character Sheet'!I85)</f>
        <v/>
      </c>
      <c r="J85" s="1161"/>
      <c r="K85" s="1161"/>
      <c r="L85" s="1161"/>
      <c r="M85" s="580" t="str">
        <f>IF('Character Sheet'!M85="", "", 'Character Sheet'!M85)</f>
        <v/>
      </c>
      <c r="N85" s="1161" t="str">
        <f>IF('Character Sheet'!N85="", "", 'Character Sheet'!N85)</f>
        <v/>
      </c>
      <c r="O85" s="1161"/>
      <c r="P85" s="572" t="str">
        <f>IF('Character Sheet'!P85="", "", 'Character Sheet'!P85)</f>
        <v/>
      </c>
      <c r="Q85" s="616" t="str">
        <f>IF('Character Sheet'!Q85="", "", 'Character Sheet'!Q85)</f>
        <v/>
      </c>
    </row>
    <row r="86" spans="1:17" ht="12.75" customHeight="1" x14ac:dyDescent="0.25">
      <c r="A86" s="1287" t="str">
        <f>IF('Character Sheet'!A86="", "", 'Character Sheet'!A86)</f>
        <v/>
      </c>
      <c r="B86" s="1147"/>
      <c r="C86" s="1147"/>
      <c r="D86" s="1147"/>
      <c r="E86" s="1147"/>
      <c r="F86" s="1147"/>
      <c r="G86" s="1148"/>
      <c r="H86" s="1272"/>
      <c r="I86" s="1253" t="str">
        <f>IF('Character Sheet'!I86="", "", 'Character Sheet'!I86)</f>
        <v/>
      </c>
      <c r="J86" s="1161"/>
      <c r="K86" s="1161"/>
      <c r="L86" s="1161"/>
      <c r="M86" s="580" t="str">
        <f>IF('Character Sheet'!M86="", "", 'Character Sheet'!M86)</f>
        <v/>
      </c>
      <c r="N86" s="1161" t="str">
        <f>IF('Character Sheet'!N86="", "", 'Character Sheet'!N86)</f>
        <v/>
      </c>
      <c r="O86" s="1161"/>
      <c r="P86" s="572" t="str">
        <f>IF('Character Sheet'!P86="", "", 'Character Sheet'!P86)</f>
        <v/>
      </c>
      <c r="Q86" s="616" t="str">
        <f>IF('Character Sheet'!Q86="", "", 'Character Sheet'!Q86)</f>
        <v/>
      </c>
    </row>
    <row r="87" spans="1:17" ht="12.75" customHeight="1" x14ac:dyDescent="0.25">
      <c r="A87" s="1287" t="str">
        <f>IF('Character Sheet'!A87="", "", 'Character Sheet'!A87)</f>
        <v/>
      </c>
      <c r="B87" s="1147"/>
      <c r="C87" s="1147"/>
      <c r="D87" s="1147"/>
      <c r="E87" s="1147"/>
      <c r="F87" s="1147"/>
      <c r="G87" s="1148"/>
      <c r="H87" s="1272"/>
      <c r="I87" s="1253" t="str">
        <f>IF('Character Sheet'!I87="", "", 'Character Sheet'!I87)</f>
        <v/>
      </c>
      <c r="J87" s="1161"/>
      <c r="K87" s="1161"/>
      <c r="L87" s="1161"/>
      <c r="M87" s="580" t="str">
        <f>IF('Character Sheet'!M87="", "", 'Character Sheet'!M87)</f>
        <v/>
      </c>
      <c r="N87" s="1161" t="str">
        <f>IF('Character Sheet'!N87="", "", 'Character Sheet'!N87)</f>
        <v/>
      </c>
      <c r="O87" s="1161"/>
      <c r="P87" s="572" t="str">
        <f>IF('Character Sheet'!P87="", "", 'Character Sheet'!P87)</f>
        <v/>
      </c>
      <c r="Q87" s="616" t="str">
        <f>IF('Character Sheet'!Q87="", "", 'Character Sheet'!Q87)</f>
        <v/>
      </c>
    </row>
    <row r="88" spans="1:17" ht="12.75" customHeight="1" x14ac:dyDescent="0.25">
      <c r="A88" s="1287" t="str">
        <f>IF('Character Sheet'!A88="", "", 'Character Sheet'!A88)</f>
        <v/>
      </c>
      <c r="B88" s="1147"/>
      <c r="C88" s="1147"/>
      <c r="D88" s="1147"/>
      <c r="E88" s="1147"/>
      <c r="F88" s="1147"/>
      <c r="G88" s="1148"/>
      <c r="H88" s="1272"/>
      <c r="I88" s="1253" t="str">
        <f>IF('Character Sheet'!I88="", "", 'Character Sheet'!I88)</f>
        <v/>
      </c>
      <c r="J88" s="1161"/>
      <c r="K88" s="1161"/>
      <c r="L88" s="1161"/>
      <c r="M88" s="580" t="str">
        <f>IF('Character Sheet'!M88="", "", 'Character Sheet'!M88)</f>
        <v/>
      </c>
      <c r="N88" s="1161" t="str">
        <f>IF('Character Sheet'!N88="", "", 'Character Sheet'!N88)</f>
        <v/>
      </c>
      <c r="O88" s="1161"/>
      <c r="P88" s="572" t="str">
        <f>IF('Character Sheet'!P88="", "", 'Character Sheet'!P88)</f>
        <v/>
      </c>
      <c r="Q88" s="616" t="str">
        <f>IF('Character Sheet'!Q88="", "", 'Character Sheet'!Q88)</f>
        <v/>
      </c>
    </row>
    <row r="89" spans="1:17" ht="12.75" customHeight="1" x14ac:dyDescent="0.25">
      <c r="A89" s="1287" t="str">
        <f>IF('Character Sheet'!A89="", "", 'Character Sheet'!A89)</f>
        <v/>
      </c>
      <c r="B89" s="1147"/>
      <c r="C89" s="1147"/>
      <c r="D89" s="1147"/>
      <c r="E89" s="1147"/>
      <c r="F89" s="1147"/>
      <c r="G89" s="1148"/>
      <c r="H89" s="1272"/>
      <c r="I89" s="1253" t="str">
        <f>IF('Character Sheet'!I89="", "", 'Character Sheet'!I89)</f>
        <v/>
      </c>
      <c r="J89" s="1161"/>
      <c r="K89" s="1161"/>
      <c r="L89" s="1161"/>
      <c r="M89" s="580" t="str">
        <f>IF('Character Sheet'!M89="", "", 'Character Sheet'!M89)</f>
        <v/>
      </c>
      <c r="N89" s="1161" t="str">
        <f>IF('Character Sheet'!N89="", "", 'Character Sheet'!N89)</f>
        <v/>
      </c>
      <c r="O89" s="1161"/>
      <c r="P89" s="572" t="str">
        <f>IF('Character Sheet'!P89="", "", 'Character Sheet'!P89)</f>
        <v/>
      </c>
      <c r="Q89" s="616" t="str">
        <f>IF('Character Sheet'!Q89="", "", 'Character Sheet'!Q89)</f>
        <v/>
      </c>
    </row>
    <row r="90" spans="1:17" ht="12.75" customHeight="1" x14ac:dyDescent="0.25">
      <c r="A90" s="1287" t="str">
        <f>IF('Character Sheet'!A90="", "", 'Character Sheet'!A90)</f>
        <v/>
      </c>
      <c r="B90" s="1147"/>
      <c r="C90" s="1147"/>
      <c r="D90" s="1147"/>
      <c r="E90" s="1147"/>
      <c r="F90" s="1147"/>
      <c r="G90" s="1148"/>
      <c r="H90" s="1272"/>
      <c r="I90" s="1253" t="str">
        <f>IF('Character Sheet'!I90="", "", 'Character Sheet'!I90)</f>
        <v/>
      </c>
      <c r="J90" s="1161"/>
      <c r="K90" s="1161"/>
      <c r="L90" s="1161"/>
      <c r="M90" s="580" t="str">
        <f>IF('Character Sheet'!M90="", "", 'Character Sheet'!M90)</f>
        <v/>
      </c>
      <c r="N90" s="1161" t="str">
        <f>IF('Character Sheet'!N90="", "", 'Character Sheet'!N90)</f>
        <v/>
      </c>
      <c r="O90" s="1161"/>
      <c r="P90" s="572" t="str">
        <f>IF('Character Sheet'!P90="", "", 'Character Sheet'!P90)</f>
        <v/>
      </c>
      <c r="Q90" s="616" t="str">
        <f>IF('Character Sheet'!Q90="", "", 'Character Sheet'!Q90)</f>
        <v/>
      </c>
    </row>
    <row r="91" spans="1:17" ht="12.75" customHeight="1" x14ac:dyDescent="0.25">
      <c r="A91" s="1287" t="str">
        <f>IF('Character Sheet'!A91="", "", 'Character Sheet'!A91)</f>
        <v/>
      </c>
      <c r="B91" s="1147"/>
      <c r="C91" s="1147"/>
      <c r="D91" s="1147"/>
      <c r="E91" s="1147"/>
      <c r="F91" s="1147"/>
      <c r="G91" s="1148"/>
      <c r="H91" s="1272"/>
      <c r="I91" s="1253" t="str">
        <f>IF('Character Sheet'!I91="", "", 'Character Sheet'!I91)</f>
        <v/>
      </c>
      <c r="J91" s="1161"/>
      <c r="K91" s="1161"/>
      <c r="L91" s="1161"/>
      <c r="M91" s="580" t="str">
        <f>IF('Character Sheet'!M91="", "", 'Character Sheet'!M91)</f>
        <v/>
      </c>
      <c r="N91" s="1161" t="str">
        <f>IF('Character Sheet'!N91="", "", 'Character Sheet'!N91)</f>
        <v/>
      </c>
      <c r="O91" s="1161"/>
      <c r="P91" s="572" t="str">
        <f>IF('Character Sheet'!P91="", "", 'Character Sheet'!P91)</f>
        <v/>
      </c>
      <c r="Q91" s="616" t="str">
        <f>IF('Character Sheet'!Q91="", "", 'Character Sheet'!Q91)</f>
        <v/>
      </c>
    </row>
    <row r="92" spans="1:17" ht="12.75" customHeight="1" x14ac:dyDescent="0.25">
      <c r="A92" s="1287" t="str">
        <f>IF('Character Sheet'!A92="", "", 'Character Sheet'!A92)</f>
        <v/>
      </c>
      <c r="B92" s="1147"/>
      <c r="C92" s="1147"/>
      <c r="D92" s="1147"/>
      <c r="E92" s="1147"/>
      <c r="F92" s="1147"/>
      <c r="G92" s="1148"/>
      <c r="H92" s="1272"/>
      <c r="I92" s="1253" t="str">
        <f>IF('Character Sheet'!I92="", "", 'Character Sheet'!I92)</f>
        <v/>
      </c>
      <c r="J92" s="1161"/>
      <c r="K92" s="1161"/>
      <c r="L92" s="1161"/>
      <c r="M92" s="580" t="str">
        <f>IF('Character Sheet'!M92="", "", 'Character Sheet'!M92)</f>
        <v/>
      </c>
      <c r="N92" s="1161" t="str">
        <f>IF('Character Sheet'!N92="", "", 'Character Sheet'!N92)</f>
        <v/>
      </c>
      <c r="O92" s="1161"/>
      <c r="P92" s="572" t="str">
        <f>IF('Character Sheet'!P92="", "", 'Character Sheet'!P92)</f>
        <v/>
      </c>
      <c r="Q92" s="616" t="str">
        <f>IF('Character Sheet'!Q92="", "", 'Character Sheet'!Q92)</f>
        <v/>
      </c>
    </row>
    <row r="93" spans="1:17" ht="12.75" customHeight="1" thickBot="1" x14ac:dyDescent="0.3">
      <c r="A93" s="1287" t="str">
        <f>IF('Character Sheet'!A93="", "", 'Character Sheet'!A93)</f>
        <v/>
      </c>
      <c r="B93" s="1147"/>
      <c r="C93" s="1147"/>
      <c r="D93" s="1147"/>
      <c r="E93" s="1147"/>
      <c r="F93" s="1147"/>
      <c r="G93" s="1148"/>
      <c r="H93" s="1272"/>
      <c r="I93" s="1253" t="str">
        <f>IF('Character Sheet'!I93="", "", 'Character Sheet'!I93)</f>
        <v/>
      </c>
      <c r="J93" s="1161"/>
      <c r="K93" s="1161"/>
      <c r="L93" s="1161"/>
      <c r="M93" s="1290" t="str">
        <f>IF('Character Sheet'!M93="", "", 'Character Sheet'!M93)</f>
        <v/>
      </c>
      <c r="N93" s="1161" t="str">
        <f>IF('Character Sheet'!N93="", "", 'Character Sheet'!N93)</f>
        <v/>
      </c>
      <c r="O93" s="1161"/>
      <c r="P93" s="1291" t="str">
        <f>IF('Character Sheet'!P93="", "", 'Character Sheet'!P93)</f>
        <v/>
      </c>
      <c r="Q93" s="1288" t="str">
        <f>IF('Character Sheet'!Q93="", "", 'Character Sheet'!Q93)</f>
        <v/>
      </c>
    </row>
    <row r="94" spans="1:17" ht="1.5" customHeight="1" x14ac:dyDescent="0.25">
      <c r="A94" s="1289"/>
      <c r="B94" s="1289"/>
      <c r="C94" s="1289"/>
      <c r="D94" s="1289"/>
      <c r="E94" s="1289"/>
      <c r="F94" s="1289"/>
      <c r="G94" s="1289"/>
      <c r="H94" s="1272"/>
      <c r="I94" s="1253"/>
      <c r="J94" s="1161"/>
      <c r="K94" s="1161"/>
      <c r="L94" s="1161"/>
      <c r="M94" s="1290"/>
      <c r="N94" s="1161"/>
      <c r="O94" s="1161"/>
      <c r="P94" s="1291"/>
      <c r="Q94" s="1288"/>
    </row>
    <row r="95" spans="1:17" ht="2.25" customHeight="1" thickBot="1" x14ac:dyDescent="0.3">
      <c r="A95" s="1177"/>
      <c r="B95" s="1177"/>
      <c r="C95" s="1177"/>
      <c r="D95" s="1177"/>
      <c r="E95" s="1177"/>
      <c r="F95" s="1177"/>
      <c r="G95" s="1177"/>
      <c r="H95" s="1272"/>
      <c r="I95" s="1253" t="str">
        <f>IF('Character Sheet'!I95="", "", 'Character Sheet'!I95)</f>
        <v/>
      </c>
      <c r="J95" s="1161"/>
      <c r="K95" s="1161"/>
      <c r="L95" s="1161"/>
      <c r="M95" s="1290" t="str">
        <f>IF('Character Sheet'!M95="", "", 'Character Sheet'!M95)</f>
        <v/>
      </c>
      <c r="N95" s="1161" t="str">
        <f>IF('Character Sheet'!N95="", "", 'Character Sheet'!N95)</f>
        <v/>
      </c>
      <c r="O95" s="1161"/>
      <c r="P95" s="1291" t="str">
        <f>IF('Character Sheet'!P95="", "", 'Character Sheet'!P95)</f>
        <v/>
      </c>
      <c r="Q95" s="1288" t="str">
        <f>IF('Character Sheet'!Q95="", "", 'Character Sheet'!Q95)</f>
        <v/>
      </c>
    </row>
    <row r="96" spans="1:17" ht="12.75" customHeight="1" thickBot="1" x14ac:dyDescent="0.3">
      <c r="A96" s="1220" t="s">
        <v>99</v>
      </c>
      <c r="B96" s="1221"/>
      <c r="C96" s="1221"/>
      <c r="D96" s="1221"/>
      <c r="E96" s="1221"/>
      <c r="F96" s="1221"/>
      <c r="G96" s="1222"/>
      <c r="H96" s="1272"/>
      <c r="I96" s="1253"/>
      <c r="J96" s="1161"/>
      <c r="K96" s="1161"/>
      <c r="L96" s="1161"/>
      <c r="M96" s="1290"/>
      <c r="N96" s="1161"/>
      <c r="O96" s="1161"/>
      <c r="P96" s="1291"/>
      <c r="Q96" s="1288"/>
    </row>
    <row r="97" spans="1:17" ht="12.75" customHeight="1" x14ac:dyDescent="0.25">
      <c r="A97" s="1292" t="s">
        <v>5</v>
      </c>
      <c r="B97" s="1227"/>
      <c r="C97" s="1227"/>
      <c r="D97" s="1251" t="str">
        <f>IF('Character Sheet'!D97="", "", 'Character Sheet'!D97)</f>
        <v/>
      </c>
      <c r="E97" s="1251"/>
      <c r="F97" s="1251"/>
      <c r="G97" s="1252"/>
      <c r="H97" s="1272"/>
      <c r="I97" s="1253" t="str">
        <f>IF('Character Sheet'!I97="", "", 'Character Sheet'!I97)</f>
        <v/>
      </c>
      <c r="J97" s="1161"/>
      <c r="K97" s="1161"/>
      <c r="L97" s="1161"/>
      <c r="M97" s="580" t="str">
        <f>IF('Character Sheet'!M97="", "", 'Character Sheet'!M97)</f>
        <v/>
      </c>
      <c r="N97" s="1161" t="str">
        <f>IF('Character Sheet'!N97="", "", 'Character Sheet'!N97)</f>
        <v/>
      </c>
      <c r="O97" s="1161"/>
      <c r="P97" s="572" t="str">
        <f>IF('Character Sheet'!P97="", "", 'Character Sheet'!P97)</f>
        <v/>
      </c>
      <c r="Q97" s="616" t="str">
        <f>IF('Character Sheet'!Q97="", "", 'Character Sheet'!Q97)</f>
        <v/>
      </c>
    </row>
    <row r="98" spans="1:17" ht="12.75" customHeight="1" x14ac:dyDescent="0.25">
      <c r="A98" s="1149" t="s">
        <v>100</v>
      </c>
      <c r="B98" s="1150"/>
      <c r="C98" s="1150"/>
      <c r="D98" s="1161" t="str">
        <f>IF('Character Sheet'!D98="", "", 'Character Sheet'!D98)</f>
        <v/>
      </c>
      <c r="E98" s="1161"/>
      <c r="F98" s="1161"/>
      <c r="G98" s="1254"/>
      <c r="H98" s="1272"/>
      <c r="I98" s="1253" t="str">
        <f>IF('Character Sheet'!I98="", "", 'Character Sheet'!I98)</f>
        <v/>
      </c>
      <c r="J98" s="1161"/>
      <c r="K98" s="1161"/>
      <c r="L98" s="1161"/>
      <c r="M98" s="580" t="str">
        <f>IF('Character Sheet'!M98="", "", 'Character Sheet'!M98)</f>
        <v/>
      </c>
      <c r="N98" s="1161" t="str">
        <f>IF('Character Sheet'!N98="", "", 'Character Sheet'!N98)</f>
        <v/>
      </c>
      <c r="O98" s="1161"/>
      <c r="P98" s="572" t="str">
        <f>IF('Character Sheet'!P98="", "", 'Character Sheet'!P98)</f>
        <v/>
      </c>
      <c r="Q98" s="616" t="str">
        <f>IF('Character Sheet'!Q98="", "", 'Character Sheet'!Q98)</f>
        <v/>
      </c>
    </row>
    <row r="99" spans="1:17" ht="12.75" customHeight="1" x14ac:dyDescent="0.25">
      <c r="A99" s="1149" t="s">
        <v>101</v>
      </c>
      <c r="B99" s="1150"/>
      <c r="C99" s="1150"/>
      <c r="D99" s="587" t="str">
        <f>IF('Character Sheet'!D99="", "", 'Character Sheet'!D99)</f>
        <v/>
      </c>
      <c r="E99" s="1150" t="s">
        <v>20</v>
      </c>
      <c r="F99" s="1150"/>
      <c r="G99" s="588" t="str">
        <f>IF('Character Sheet'!G99="", "", 'Character Sheet'!G99)</f>
        <v/>
      </c>
      <c r="H99" s="1272"/>
      <c r="I99" s="1253" t="str">
        <f>IF('Character Sheet'!I99="", "", 'Character Sheet'!I99)</f>
        <v/>
      </c>
      <c r="J99" s="1161"/>
      <c r="K99" s="1161"/>
      <c r="L99" s="1161"/>
      <c r="M99" s="580" t="str">
        <f>IF('Character Sheet'!M99="", "", 'Character Sheet'!M99)</f>
        <v/>
      </c>
      <c r="N99" s="1161" t="str">
        <f>IF('Character Sheet'!N99="", "", 'Character Sheet'!N99)</f>
        <v/>
      </c>
      <c r="O99" s="1161"/>
      <c r="P99" s="572" t="str">
        <f>IF('Character Sheet'!P99="", "", 'Character Sheet'!P99)</f>
        <v/>
      </c>
      <c r="Q99" s="616" t="str">
        <f>IF('Character Sheet'!Q99="", "", 'Character Sheet'!Q99)</f>
        <v/>
      </c>
    </row>
    <row r="100" spans="1:17" ht="12.75" customHeight="1" x14ac:dyDescent="0.25">
      <c r="A100" s="1149" t="s">
        <v>72</v>
      </c>
      <c r="B100" s="1150"/>
      <c r="C100" s="1150"/>
      <c r="D100" s="587" t="str">
        <f>IF('Character Sheet'!D100="", "", 'Character Sheet'!D100)</f>
        <v/>
      </c>
      <c r="E100" s="1150" t="s">
        <v>73</v>
      </c>
      <c r="F100" s="1150"/>
      <c r="G100" s="588" t="str">
        <f>IF('Character Sheet'!G100="", "", 'Character Sheet'!G100)</f>
        <v/>
      </c>
      <c r="H100" s="1272"/>
      <c r="I100" s="1253" t="str">
        <f>IF('Character Sheet'!I100="", "", 'Character Sheet'!I100)</f>
        <v/>
      </c>
      <c r="J100" s="1161"/>
      <c r="K100" s="1161"/>
      <c r="L100" s="1161"/>
      <c r="M100" s="580" t="str">
        <f>IF('Character Sheet'!M100="", "", 'Character Sheet'!M100)</f>
        <v/>
      </c>
      <c r="N100" s="1161" t="str">
        <f>IF('Character Sheet'!N100="", "", 'Character Sheet'!N100)</f>
        <v/>
      </c>
      <c r="O100" s="1161"/>
      <c r="P100" s="572" t="str">
        <f>IF('Character Sheet'!P100="", "", 'Character Sheet'!P100)</f>
        <v/>
      </c>
      <c r="Q100" s="616" t="str">
        <f>IF('Character Sheet'!Q100="", "", 'Character Sheet'!Q100)</f>
        <v/>
      </c>
    </row>
    <row r="101" spans="1:17" ht="12.75" customHeight="1" x14ac:dyDescent="0.25">
      <c r="A101" s="1149" t="s">
        <v>102</v>
      </c>
      <c r="B101" s="1150"/>
      <c r="C101" s="1150"/>
      <c r="D101" s="587" t="str">
        <f>IF('Character Sheet'!D101="", "", 'Character Sheet'!D101)</f>
        <v/>
      </c>
      <c r="E101" s="1150" t="s">
        <v>74</v>
      </c>
      <c r="F101" s="1150"/>
      <c r="G101" s="588" t="str">
        <f>IF('Character Sheet'!G101="", "", 'Character Sheet'!G101)</f>
        <v/>
      </c>
      <c r="H101" s="1272"/>
      <c r="I101" s="1253" t="str">
        <f>IF('Character Sheet'!I101="", "", 'Character Sheet'!I101)</f>
        <v/>
      </c>
      <c r="J101" s="1161"/>
      <c r="K101" s="1161"/>
      <c r="L101" s="1161"/>
      <c r="M101" s="580" t="str">
        <f>IF('Character Sheet'!M101="", "", 'Character Sheet'!M101)</f>
        <v/>
      </c>
      <c r="N101" s="1161" t="str">
        <f>IF('Character Sheet'!N101="", "", 'Character Sheet'!N101)</f>
        <v/>
      </c>
      <c r="O101" s="1161"/>
      <c r="P101" s="572" t="str">
        <f>IF('Character Sheet'!P101="", "", 'Character Sheet'!P101)</f>
        <v/>
      </c>
      <c r="Q101" s="616" t="str">
        <f>IF('Character Sheet'!Q101="", "", 'Character Sheet'!Q101)</f>
        <v/>
      </c>
    </row>
    <row r="102" spans="1:17" ht="12.75" customHeight="1" x14ac:dyDescent="0.25">
      <c r="A102" s="1149" t="s">
        <v>75</v>
      </c>
      <c r="B102" s="1150"/>
      <c r="C102" s="1150"/>
      <c r="D102" s="587" t="str">
        <f>IF('Character Sheet'!D102="", "", 'Character Sheet'!D102)</f>
        <v/>
      </c>
      <c r="E102" s="1150" t="s">
        <v>76</v>
      </c>
      <c r="F102" s="1150"/>
      <c r="G102" s="588" t="str">
        <f>IF('Character Sheet'!G102="", "", 'Character Sheet'!G102)</f>
        <v/>
      </c>
      <c r="H102" s="1272"/>
      <c r="I102" s="1253" t="str">
        <f>IF('Character Sheet'!I102="", "", 'Character Sheet'!I102)</f>
        <v/>
      </c>
      <c r="J102" s="1161"/>
      <c r="K102" s="1161"/>
      <c r="L102" s="1161"/>
      <c r="M102" s="580" t="str">
        <f>IF('Character Sheet'!M102="", "", 'Character Sheet'!M102)</f>
        <v/>
      </c>
      <c r="N102" s="1161" t="str">
        <f>IF('Character Sheet'!N102="", "", 'Character Sheet'!N102)</f>
        <v/>
      </c>
      <c r="O102" s="1161"/>
      <c r="P102" s="572" t="str">
        <f>IF('Character Sheet'!P102="", "", 'Character Sheet'!P102)</f>
        <v/>
      </c>
      <c r="Q102" s="616" t="str">
        <f>IF('Character Sheet'!Q102="", "", 'Character Sheet'!Q102)</f>
        <v/>
      </c>
    </row>
    <row r="103" spans="1:17" ht="12.75" customHeight="1" x14ac:dyDescent="0.25">
      <c r="A103" s="1149" t="s">
        <v>77</v>
      </c>
      <c r="B103" s="1150"/>
      <c r="C103" s="1150"/>
      <c r="D103" s="587" t="str">
        <f>IF('Character Sheet'!D103="", "", 'Character Sheet'!D103)</f>
        <v/>
      </c>
      <c r="E103" s="1150" t="s">
        <v>78</v>
      </c>
      <c r="F103" s="1150"/>
      <c r="G103" s="588" t="str">
        <f>IF('Character Sheet'!G103="", "", 'Character Sheet'!G103)</f>
        <v/>
      </c>
      <c r="H103" s="1272"/>
      <c r="I103" s="1253" t="str">
        <f>IF('Character Sheet'!I103="", "", 'Character Sheet'!I103)</f>
        <v/>
      </c>
      <c r="J103" s="1161"/>
      <c r="K103" s="1161"/>
      <c r="L103" s="1161"/>
      <c r="M103" s="580" t="str">
        <f>IF('Character Sheet'!M103="", "", 'Character Sheet'!M103)</f>
        <v/>
      </c>
      <c r="N103" s="1161" t="str">
        <f>IF('Character Sheet'!N103="", "", 'Character Sheet'!N103)</f>
        <v/>
      </c>
      <c r="O103" s="1161"/>
      <c r="P103" s="572" t="str">
        <f>IF('Character Sheet'!P103="", "", 'Character Sheet'!P103)</f>
        <v/>
      </c>
      <c r="Q103" s="616" t="str">
        <f>IF('Character Sheet'!Q103="", "", 'Character Sheet'!Q103)</f>
        <v/>
      </c>
    </row>
    <row r="104" spans="1:17" ht="12.75" customHeight="1" x14ac:dyDescent="0.25">
      <c r="A104" s="1149" t="s">
        <v>85</v>
      </c>
      <c r="B104" s="1150"/>
      <c r="C104" s="1150"/>
      <c r="D104" s="1161" t="str">
        <f>IF('Character Sheet'!D104="", "", 'Character Sheet'!D104)</f>
        <v/>
      </c>
      <c r="E104" s="1161"/>
      <c r="F104" s="1161"/>
      <c r="G104" s="1254"/>
      <c r="H104" s="1272"/>
      <c r="I104" s="1253" t="str">
        <f>IF('Character Sheet'!I104="", "", 'Character Sheet'!I104)</f>
        <v/>
      </c>
      <c r="J104" s="1161"/>
      <c r="K104" s="1161"/>
      <c r="L104" s="1161"/>
      <c r="M104" s="580" t="str">
        <f>IF('Character Sheet'!M104="", "", 'Character Sheet'!M104)</f>
        <v/>
      </c>
      <c r="N104" s="1161" t="str">
        <f>IF('Character Sheet'!N104="", "", 'Character Sheet'!N104)</f>
        <v/>
      </c>
      <c r="O104" s="1161"/>
      <c r="P104" s="572" t="str">
        <f>IF('Character Sheet'!P104="", "", 'Character Sheet'!P104)</f>
        <v/>
      </c>
      <c r="Q104" s="616" t="str">
        <f>IF('Character Sheet'!Q104="", "", 'Character Sheet'!Q104)</f>
        <v/>
      </c>
    </row>
    <row r="105" spans="1:17" ht="12.75" customHeight="1" thickBot="1" x14ac:dyDescent="0.3">
      <c r="A105" s="1149" t="s">
        <v>103</v>
      </c>
      <c r="B105" s="1150"/>
      <c r="C105" s="1150"/>
      <c r="D105" s="1161" t="str">
        <f>IF('Character Sheet'!D105="", "", 'Character Sheet'!D105)</f>
        <v/>
      </c>
      <c r="E105" s="1161"/>
      <c r="F105" s="1161"/>
      <c r="G105" s="1254"/>
      <c r="H105" s="1272"/>
      <c r="I105" s="1264" t="str">
        <f>IF('Character Sheet'!I105="", "", 'Character Sheet'!I105)</f>
        <v/>
      </c>
      <c r="J105" s="1265"/>
      <c r="K105" s="1265"/>
      <c r="L105" s="1265"/>
      <c r="M105" s="612" t="str">
        <f>IF('Character Sheet'!M105="", "", 'Character Sheet'!M105)</f>
        <v/>
      </c>
      <c r="N105" s="1265" t="str">
        <f>IF('Character Sheet'!N105="", "", 'Character Sheet'!N105)</f>
        <v/>
      </c>
      <c r="O105" s="1265"/>
      <c r="P105" s="574" t="str">
        <f>IF('Character Sheet'!P105="", "", 'Character Sheet'!P105)</f>
        <v/>
      </c>
      <c r="Q105" s="561" t="str">
        <f>IF('Character Sheet'!Q105="", "", 'Character Sheet'!Q105)</f>
        <v/>
      </c>
    </row>
    <row r="106" spans="1:17" ht="12.75" customHeight="1" thickBot="1" x14ac:dyDescent="0.3">
      <c r="A106" s="1287" t="str">
        <f>IF('Character Sheet'!A106="", "", 'Character Sheet'!A106)</f>
        <v/>
      </c>
      <c r="B106" s="1147"/>
      <c r="C106" s="1147"/>
      <c r="D106" s="1147"/>
      <c r="E106" s="1147"/>
      <c r="F106" s="1147"/>
      <c r="G106" s="1148"/>
      <c r="H106" s="1271"/>
      <c r="I106" s="1293" t="s">
        <v>104</v>
      </c>
      <c r="J106" s="1294"/>
      <c r="K106" s="1294"/>
      <c r="L106" s="1294"/>
      <c r="M106" s="613">
        <f>SUM(M64:M105)</f>
        <v>0</v>
      </c>
      <c r="N106" s="1294" t="s">
        <v>105</v>
      </c>
      <c r="O106" s="1294"/>
      <c r="P106" s="614">
        <f>SUM(P64:P105)</f>
        <v>0</v>
      </c>
      <c r="Q106" s="615">
        <f>SUM(Q64:Q105)</f>
        <v>0</v>
      </c>
    </row>
    <row r="107" spans="1:17" ht="3.75" customHeight="1" thickBot="1" x14ac:dyDescent="0.3">
      <c r="A107" s="1177"/>
      <c r="B107" s="1177"/>
      <c r="C107" s="1177"/>
      <c r="D107" s="1177"/>
      <c r="E107" s="1177"/>
      <c r="F107" s="1177"/>
      <c r="G107" s="1177"/>
      <c r="H107" s="1177"/>
      <c r="I107" s="1177"/>
      <c r="J107" s="1177"/>
      <c r="K107" s="1177"/>
      <c r="L107" s="1177"/>
      <c r="M107" s="1177"/>
      <c r="N107" s="1177"/>
      <c r="O107" s="1177"/>
      <c r="P107" s="1177"/>
      <c r="Q107" s="1177"/>
    </row>
    <row r="108" spans="1:17" ht="14.25" customHeight="1" thickBot="1" x14ac:dyDescent="0.3">
      <c r="A108" s="1142" t="s">
        <v>103</v>
      </c>
      <c r="B108" s="1143"/>
      <c r="C108" s="1143"/>
      <c r="D108" s="1143"/>
      <c r="E108" s="1143"/>
      <c r="F108" s="1143"/>
      <c r="G108" s="1143"/>
      <c r="H108" s="1143"/>
      <c r="I108" s="1143"/>
      <c r="J108" s="1143"/>
      <c r="K108" s="1143"/>
      <c r="L108" s="1143"/>
      <c r="M108" s="1143"/>
      <c r="N108" s="1143"/>
      <c r="O108" s="1143"/>
      <c r="P108" s="1143"/>
      <c r="Q108" s="1144"/>
    </row>
    <row r="109" spans="1:17" ht="12.75" customHeight="1" x14ac:dyDescent="0.25">
      <c r="A109" s="1250" t="str">
        <f>IF('Character Sheet'!A109="", "", 'Character Sheet'!A109)</f>
        <v/>
      </c>
      <c r="B109" s="1251"/>
      <c r="C109" s="1251"/>
      <c r="D109" s="1251"/>
      <c r="E109" s="1251"/>
      <c r="F109" s="1251"/>
      <c r="G109" s="1251"/>
      <c r="H109" s="1251"/>
      <c r="I109" s="1251"/>
      <c r="J109" s="1251"/>
      <c r="K109" s="1251"/>
      <c r="L109" s="1251"/>
      <c r="M109" s="1251"/>
      <c r="N109" s="1251"/>
      <c r="O109" s="1251"/>
      <c r="P109" s="1251"/>
      <c r="Q109" s="1252"/>
    </row>
    <row r="110" spans="1:17" ht="12.75" customHeight="1" x14ac:dyDescent="0.25">
      <c r="A110" s="1253" t="str">
        <f>IF('Character Sheet'!A110="", "", 'Character Sheet'!A110)</f>
        <v/>
      </c>
      <c r="B110" s="1161"/>
      <c r="C110" s="1161"/>
      <c r="D110" s="1161"/>
      <c r="E110" s="1161"/>
      <c r="F110" s="1161"/>
      <c r="G110" s="1161"/>
      <c r="H110" s="1161"/>
      <c r="I110" s="1161"/>
      <c r="J110" s="1161"/>
      <c r="K110" s="1161"/>
      <c r="L110" s="1161"/>
      <c r="M110" s="1161"/>
      <c r="N110" s="1161"/>
      <c r="O110" s="1161"/>
      <c r="P110" s="1161"/>
      <c r="Q110" s="1254"/>
    </row>
    <row r="111" spans="1:17" ht="12.75" customHeight="1" x14ac:dyDescent="0.25">
      <c r="A111" s="1253" t="str">
        <f>IF('Character Sheet'!A111="", "", 'Character Sheet'!A111)</f>
        <v/>
      </c>
      <c r="B111" s="1161"/>
      <c r="C111" s="1161"/>
      <c r="D111" s="1161"/>
      <c r="E111" s="1161"/>
      <c r="F111" s="1161"/>
      <c r="G111" s="1161"/>
      <c r="H111" s="1161"/>
      <c r="I111" s="1161"/>
      <c r="J111" s="1161"/>
      <c r="K111" s="1161"/>
      <c r="L111" s="1161"/>
      <c r="M111" s="1161"/>
      <c r="N111" s="1161"/>
      <c r="O111" s="1161"/>
      <c r="P111" s="1161"/>
      <c r="Q111" s="1254"/>
    </row>
    <row r="112" spans="1:17" ht="12.75" customHeight="1" x14ac:dyDescent="0.25">
      <c r="A112" s="1253" t="str">
        <f>IF('Character Sheet'!A112="", "", 'Character Sheet'!A112)</f>
        <v/>
      </c>
      <c r="B112" s="1161"/>
      <c r="C112" s="1161"/>
      <c r="D112" s="1161"/>
      <c r="E112" s="1161"/>
      <c r="F112" s="1161"/>
      <c r="G112" s="1161"/>
      <c r="H112" s="1161"/>
      <c r="I112" s="1161"/>
      <c r="J112" s="1161"/>
      <c r="K112" s="1161"/>
      <c r="L112" s="1161"/>
      <c r="M112" s="1161"/>
      <c r="N112" s="1161"/>
      <c r="O112" s="1161"/>
      <c r="P112" s="1161"/>
      <c r="Q112" s="1254"/>
    </row>
    <row r="113" spans="1:17" ht="12.75" customHeight="1" x14ac:dyDescent="0.25">
      <c r="A113" s="1253" t="str">
        <f>IF('Character Sheet'!A113="", "", 'Character Sheet'!A113)</f>
        <v/>
      </c>
      <c r="B113" s="1161"/>
      <c r="C113" s="1161"/>
      <c r="D113" s="1161"/>
      <c r="E113" s="1161"/>
      <c r="F113" s="1161"/>
      <c r="G113" s="1161"/>
      <c r="H113" s="1161"/>
      <c r="I113" s="1161"/>
      <c r="J113" s="1161"/>
      <c r="K113" s="1161"/>
      <c r="L113" s="1161"/>
      <c r="M113" s="1161"/>
      <c r="N113" s="1161"/>
      <c r="O113" s="1161"/>
      <c r="P113" s="1161"/>
      <c r="Q113" s="1254"/>
    </row>
    <row r="114" spans="1:17" ht="12.75" customHeight="1" x14ac:dyDescent="0.25">
      <c r="A114" s="1253" t="str">
        <f>IF('Character Sheet'!A114="", "", 'Character Sheet'!A114)</f>
        <v/>
      </c>
      <c r="B114" s="1161"/>
      <c r="C114" s="1161"/>
      <c r="D114" s="1161"/>
      <c r="E114" s="1161"/>
      <c r="F114" s="1161"/>
      <c r="G114" s="1161"/>
      <c r="H114" s="1161"/>
      <c r="I114" s="1161"/>
      <c r="J114" s="1161"/>
      <c r="K114" s="1161"/>
      <c r="L114" s="1161"/>
      <c r="M114" s="1161"/>
      <c r="N114" s="1161"/>
      <c r="O114" s="1161"/>
      <c r="P114" s="1161"/>
      <c r="Q114" s="1254"/>
    </row>
    <row r="115" spans="1:17" ht="12.75" customHeight="1" x14ac:dyDescent="0.25">
      <c r="A115" s="1253" t="str">
        <f>IF('Character Sheet'!A115="", "", 'Character Sheet'!A115)</f>
        <v/>
      </c>
      <c r="B115" s="1161"/>
      <c r="C115" s="1161"/>
      <c r="D115" s="1161"/>
      <c r="E115" s="1161"/>
      <c r="F115" s="1161"/>
      <c r="G115" s="1161"/>
      <c r="H115" s="1161"/>
      <c r="I115" s="1161"/>
      <c r="J115" s="1161"/>
      <c r="K115" s="1161"/>
      <c r="L115" s="1161"/>
      <c r="M115" s="1161"/>
      <c r="N115" s="1161"/>
      <c r="O115" s="1161"/>
      <c r="P115" s="1161"/>
      <c r="Q115" s="1254"/>
    </row>
    <row r="116" spans="1:17" ht="12.75" customHeight="1" x14ac:dyDescent="0.25">
      <c r="A116" s="1253" t="str">
        <f>IF('Character Sheet'!A116="", "", 'Character Sheet'!A116)</f>
        <v/>
      </c>
      <c r="B116" s="1161"/>
      <c r="C116" s="1161"/>
      <c r="D116" s="1161"/>
      <c r="E116" s="1161"/>
      <c r="F116" s="1161"/>
      <c r="G116" s="1161"/>
      <c r="H116" s="1161"/>
      <c r="I116" s="1161"/>
      <c r="J116" s="1161"/>
      <c r="K116" s="1161"/>
      <c r="L116" s="1161"/>
      <c r="M116" s="1161"/>
      <c r="N116" s="1161"/>
      <c r="O116" s="1161"/>
      <c r="P116" s="1161"/>
      <c r="Q116" s="1254"/>
    </row>
    <row r="117" spans="1:17" ht="12.75" customHeight="1" thickBot="1" x14ac:dyDescent="0.3">
      <c r="A117" s="1264" t="str">
        <f>IF('Character Sheet'!A117="", "", 'Character Sheet'!A117)</f>
        <v/>
      </c>
      <c r="B117" s="1265"/>
      <c r="C117" s="1265"/>
      <c r="D117" s="1265"/>
      <c r="E117" s="1265"/>
      <c r="F117" s="1265"/>
      <c r="G117" s="1265"/>
      <c r="H117" s="1265"/>
      <c r="I117" s="1265"/>
      <c r="J117" s="1265"/>
      <c r="K117" s="1265"/>
      <c r="L117" s="1265"/>
      <c r="M117" s="1265"/>
      <c r="N117" s="1265"/>
      <c r="O117" s="1265"/>
      <c r="P117" s="1265"/>
      <c r="Q117" s="1266"/>
    </row>
    <row r="118" spans="1:17" ht="12.75" customHeight="1" x14ac:dyDescent="0.25"/>
    <row r="119" spans="1:17" ht="12.75" customHeight="1" x14ac:dyDescent="0.25"/>
    <row r="120" spans="1:17" ht="12.75" customHeight="1" x14ac:dyDescent="0.25"/>
    <row r="121" spans="1:17" ht="12.75" customHeight="1" x14ac:dyDescent="0.25"/>
    <row r="122" spans="1:17" ht="12.75" customHeight="1" x14ac:dyDescent="0.25"/>
    <row r="123" spans="1:17" ht="12.75" customHeight="1" x14ac:dyDescent="0.25"/>
    <row r="124" spans="1:17" ht="12.75" customHeight="1" x14ac:dyDescent="0.25"/>
    <row r="125" spans="1:17" ht="12.75" customHeight="1" x14ac:dyDescent="0.25"/>
    <row r="126" spans="1:17" ht="12.75" customHeight="1" x14ac:dyDescent="0.25"/>
    <row r="127" spans="1:17" ht="12.75" customHeight="1" x14ac:dyDescent="0.25"/>
    <row r="128" spans="1:17" ht="12.75" customHeight="1" x14ac:dyDescent="0.25"/>
    <row r="129" ht="12.75" customHeight="1" x14ac:dyDescent="0.25"/>
    <row r="130" ht="12.75" customHeight="1" x14ac:dyDescent="0.25"/>
    <row r="131" ht="12.75" customHeight="1" x14ac:dyDescent="0.25"/>
    <row r="132" ht="12.75" customHeight="1" x14ac:dyDescent="0.25"/>
    <row r="133" ht="12.75" customHeight="1" x14ac:dyDescent="0.25"/>
    <row r="134" ht="12.75" customHeight="1" x14ac:dyDescent="0.25"/>
    <row r="135" ht="12.75" customHeight="1" x14ac:dyDescent="0.25"/>
    <row r="136" ht="12.75" customHeight="1" x14ac:dyDescent="0.25"/>
    <row r="137" ht="12.75" customHeight="1" x14ac:dyDescent="0.25"/>
    <row r="138" ht="12.75" customHeight="1" x14ac:dyDescent="0.25"/>
    <row r="139" ht="12.75" customHeight="1" x14ac:dyDescent="0.25"/>
    <row r="140" ht="12.75" customHeight="1" x14ac:dyDescent="0.25"/>
    <row r="141" ht="12.75" customHeight="1" x14ac:dyDescent="0.25"/>
    <row r="142" ht="12.75" customHeight="1" x14ac:dyDescent="0.25"/>
    <row r="143" ht="12.75" customHeight="1" x14ac:dyDescent="0.25"/>
    <row r="144" ht="12.75" customHeight="1" x14ac:dyDescent="0.25"/>
    <row r="145" ht="12.75" customHeight="1" x14ac:dyDescent="0.25"/>
    <row r="146" ht="12.75" customHeight="1" x14ac:dyDescent="0.25"/>
    <row r="147" ht="12.75" customHeight="1" x14ac:dyDescent="0.25"/>
    <row r="148" ht="12.75" customHeight="1" x14ac:dyDescent="0.25"/>
    <row r="149" ht="12.75" customHeight="1" x14ac:dyDescent="0.25"/>
    <row r="150" ht="12.75" customHeight="1" x14ac:dyDescent="0.25"/>
    <row r="151" ht="12.75" customHeight="1" x14ac:dyDescent="0.25"/>
    <row r="152" ht="12.75" customHeight="1" x14ac:dyDescent="0.25"/>
    <row r="153" ht="12.75" customHeight="1" x14ac:dyDescent="0.25"/>
    <row r="154" ht="12.75" customHeight="1" x14ac:dyDescent="0.25"/>
    <row r="155" ht="12.75" customHeight="1" x14ac:dyDescent="0.25"/>
    <row r="156" ht="12.75" customHeight="1" x14ac:dyDescent="0.25"/>
    <row r="157" ht="12.75" customHeight="1" x14ac:dyDescent="0.25"/>
    <row r="158" ht="12.75" customHeight="1" x14ac:dyDescent="0.25"/>
    <row r="159" ht="12.75" customHeight="1" x14ac:dyDescent="0.25"/>
    <row r="160" ht="12.75" customHeight="1" x14ac:dyDescent="0.25"/>
    <row r="161" ht="12.75" customHeight="1" x14ac:dyDescent="0.25"/>
    <row r="162" ht="12.75" customHeight="1" x14ac:dyDescent="0.25"/>
    <row r="163" ht="12.75" customHeight="1" x14ac:dyDescent="0.25"/>
    <row r="164" ht="12.75" customHeight="1" x14ac:dyDescent="0.25"/>
    <row r="165" ht="12.75" customHeight="1" x14ac:dyDescent="0.25"/>
    <row r="166" ht="12.75" customHeight="1" x14ac:dyDescent="0.25"/>
    <row r="167" ht="12.75" customHeight="1" x14ac:dyDescent="0.25"/>
    <row r="168" ht="12.75" customHeight="1" x14ac:dyDescent="0.25"/>
    <row r="169" ht="12.75" customHeight="1" x14ac:dyDescent="0.25"/>
    <row r="170" ht="12.75" customHeight="1" x14ac:dyDescent="0.25"/>
    <row r="171" ht="12.75" customHeight="1" x14ac:dyDescent="0.25"/>
    <row r="172" ht="12.75" customHeight="1" x14ac:dyDescent="0.25"/>
    <row r="173" ht="12.75" customHeight="1" x14ac:dyDescent="0.25"/>
    <row r="174" ht="12.75" customHeight="1" x14ac:dyDescent="0.25"/>
    <row r="175" ht="12.75" customHeight="1" x14ac:dyDescent="0.25"/>
    <row r="176" ht="12.75" customHeight="1" x14ac:dyDescent="0.25"/>
    <row r="177" ht="12.75" customHeight="1" x14ac:dyDescent="0.25"/>
    <row r="178" ht="12.75" customHeight="1" x14ac:dyDescent="0.25"/>
    <row r="179" ht="12.75" customHeight="1" x14ac:dyDescent="0.25"/>
    <row r="180" ht="12.75" customHeight="1" x14ac:dyDescent="0.25"/>
    <row r="181" ht="12.75" customHeight="1" x14ac:dyDescent="0.25"/>
    <row r="182" ht="12.75" customHeight="1" x14ac:dyDescent="0.25"/>
    <row r="183" ht="12.75" customHeight="1" x14ac:dyDescent="0.25"/>
    <row r="184" ht="12.75" customHeight="1" x14ac:dyDescent="0.25"/>
    <row r="185" ht="12.75" customHeight="1" x14ac:dyDescent="0.25"/>
    <row r="186" ht="12.75" customHeight="1" x14ac:dyDescent="0.25"/>
    <row r="187" ht="12.75" customHeight="1" x14ac:dyDescent="0.25"/>
    <row r="188" ht="12.75" customHeight="1" x14ac:dyDescent="0.25"/>
    <row r="189" ht="12.75" customHeight="1" x14ac:dyDescent="0.25"/>
    <row r="190" ht="12.75" customHeight="1" x14ac:dyDescent="0.25"/>
    <row r="191" ht="12.75" customHeight="1" x14ac:dyDescent="0.25"/>
    <row r="192" ht="12.75" customHeight="1" x14ac:dyDescent="0.25"/>
    <row r="193" ht="12.75" customHeight="1" x14ac:dyDescent="0.25"/>
    <row r="194" ht="12.75" customHeight="1" x14ac:dyDescent="0.25"/>
    <row r="195" ht="12.75" customHeight="1" x14ac:dyDescent="0.25"/>
    <row r="196" ht="12.75" customHeight="1" x14ac:dyDescent="0.25"/>
    <row r="197" ht="12.75" customHeight="1" x14ac:dyDescent="0.25"/>
    <row r="198" ht="12.75" customHeight="1" x14ac:dyDescent="0.25"/>
    <row r="199" ht="12.75" customHeight="1" x14ac:dyDescent="0.25"/>
    <row r="200" ht="12.75" customHeight="1" x14ac:dyDescent="0.25"/>
    <row r="201" ht="12.75" customHeight="1" x14ac:dyDescent="0.25"/>
    <row r="202" ht="12.75" customHeight="1" x14ac:dyDescent="0.25"/>
    <row r="203" ht="12.75" customHeight="1" x14ac:dyDescent="0.25"/>
    <row r="204" ht="12.75" customHeight="1" x14ac:dyDescent="0.25"/>
    <row r="205" ht="12.75" customHeight="1" x14ac:dyDescent="0.25"/>
    <row r="206" ht="12.75" customHeight="1" x14ac:dyDescent="0.25"/>
    <row r="207" ht="12.75" customHeight="1" x14ac:dyDescent="0.25"/>
    <row r="208" ht="12.75" customHeight="1" x14ac:dyDescent="0.25"/>
    <row r="209" ht="12.75" customHeight="1" x14ac:dyDescent="0.25"/>
    <row r="210" ht="12.75" customHeight="1" x14ac:dyDescent="0.25"/>
    <row r="211" ht="12.75" customHeight="1" x14ac:dyDescent="0.25"/>
    <row r="212" ht="12.75" customHeight="1" x14ac:dyDescent="0.25"/>
    <row r="213" ht="12.75" customHeight="1" x14ac:dyDescent="0.25"/>
    <row r="214" ht="12.75" customHeight="1" x14ac:dyDescent="0.25"/>
    <row r="215" ht="12.75" customHeight="1" x14ac:dyDescent="0.25"/>
    <row r="216" ht="12.75" customHeight="1" x14ac:dyDescent="0.25"/>
    <row r="217" ht="12.75" customHeight="1" x14ac:dyDescent="0.25"/>
    <row r="218" ht="12.75" customHeight="1" x14ac:dyDescent="0.25"/>
    <row r="219" ht="12.75" customHeight="1" x14ac:dyDescent="0.25"/>
    <row r="220" ht="12.75" customHeight="1" x14ac:dyDescent="0.25"/>
    <row r="221" ht="12.75" customHeight="1" x14ac:dyDescent="0.25"/>
    <row r="222" ht="12.75" customHeight="1" x14ac:dyDescent="0.25"/>
    <row r="223" ht="12.75" customHeight="1" x14ac:dyDescent="0.25"/>
    <row r="224" ht="12.75" customHeight="1" x14ac:dyDescent="0.25"/>
    <row r="225" ht="12.75" customHeight="1" x14ac:dyDescent="0.25"/>
    <row r="226" ht="12.75" customHeight="1" x14ac:dyDescent="0.25"/>
    <row r="227" ht="12.75" customHeight="1" x14ac:dyDescent="0.25"/>
    <row r="228" ht="12.75" customHeight="1" x14ac:dyDescent="0.25"/>
    <row r="229" ht="12.75" customHeight="1" x14ac:dyDescent="0.25"/>
    <row r="230" ht="12.75" customHeight="1" x14ac:dyDescent="0.25"/>
    <row r="231" ht="12.75" customHeight="1" x14ac:dyDescent="0.25"/>
    <row r="232" ht="12.75" customHeight="1" x14ac:dyDescent="0.25"/>
    <row r="233" ht="12.75" customHeight="1" x14ac:dyDescent="0.25"/>
    <row r="234" ht="12.75" customHeight="1" x14ac:dyDescent="0.25"/>
    <row r="235" ht="12.75" customHeight="1" x14ac:dyDescent="0.25"/>
    <row r="236" ht="12.75" customHeight="1" x14ac:dyDescent="0.25"/>
    <row r="237" ht="12.75" customHeight="1" x14ac:dyDescent="0.25"/>
    <row r="238" ht="12.75" customHeight="1" x14ac:dyDescent="0.25"/>
    <row r="239" ht="12.75" customHeight="1" x14ac:dyDescent="0.25"/>
    <row r="240" ht="12.75" customHeight="1" x14ac:dyDescent="0.25"/>
    <row r="241" ht="12.75" customHeight="1" x14ac:dyDescent="0.25"/>
    <row r="242" ht="12.75" customHeight="1" x14ac:dyDescent="0.25"/>
    <row r="243" ht="12.75" customHeight="1" x14ac:dyDescent="0.25"/>
    <row r="244" ht="12.75" customHeight="1" x14ac:dyDescent="0.25"/>
    <row r="245" ht="12.75" customHeight="1" x14ac:dyDescent="0.25"/>
    <row r="246" ht="12.75" customHeight="1" x14ac:dyDescent="0.25"/>
    <row r="247" ht="12.75" customHeight="1" x14ac:dyDescent="0.25"/>
    <row r="248" ht="12.75" customHeight="1" x14ac:dyDescent="0.25"/>
    <row r="249" ht="12.75" customHeight="1" x14ac:dyDescent="0.25"/>
    <row r="250" ht="12.75" customHeight="1" x14ac:dyDescent="0.25"/>
    <row r="251" ht="12.75" customHeight="1" x14ac:dyDescent="0.25"/>
    <row r="252" ht="12.75" customHeight="1" x14ac:dyDescent="0.25"/>
    <row r="253" ht="12.75" customHeight="1" x14ac:dyDescent="0.25"/>
    <row r="254" ht="12.75" customHeight="1" x14ac:dyDescent="0.25"/>
    <row r="255" ht="12.75" customHeight="1" x14ac:dyDescent="0.25"/>
    <row r="256" ht="12.75" customHeight="1" x14ac:dyDescent="0.25"/>
    <row r="257" ht="12.75" customHeight="1" x14ac:dyDescent="0.25"/>
    <row r="258" ht="12.75" customHeight="1" x14ac:dyDescent="0.25"/>
    <row r="259" ht="12.75" customHeight="1" x14ac:dyDescent="0.25"/>
    <row r="260" ht="12.75" customHeight="1" x14ac:dyDescent="0.25"/>
    <row r="261" ht="12.75" customHeight="1" x14ac:dyDescent="0.25"/>
    <row r="262" ht="12.75" customHeight="1" x14ac:dyDescent="0.25"/>
    <row r="263" ht="12.75" customHeight="1" x14ac:dyDescent="0.25"/>
    <row r="264" ht="12.75" customHeight="1" x14ac:dyDescent="0.25"/>
    <row r="265" ht="12.75" customHeight="1" x14ac:dyDescent="0.25"/>
    <row r="266" ht="12.75" customHeight="1" x14ac:dyDescent="0.25"/>
    <row r="267" ht="12.75" customHeight="1" x14ac:dyDescent="0.25"/>
    <row r="268" ht="12.75" customHeight="1" x14ac:dyDescent="0.25"/>
    <row r="269" ht="12.75" customHeight="1" x14ac:dyDescent="0.25"/>
    <row r="270" ht="12.75" customHeight="1" x14ac:dyDescent="0.25"/>
    <row r="271" ht="12.75" customHeight="1" x14ac:dyDescent="0.25"/>
    <row r="272" ht="12.75" customHeight="1" x14ac:dyDescent="0.25"/>
    <row r="273" ht="12.75" customHeight="1" x14ac:dyDescent="0.25"/>
    <row r="274" ht="12.75" customHeight="1" x14ac:dyDescent="0.25"/>
    <row r="275" ht="12.75" customHeight="1" x14ac:dyDescent="0.25"/>
    <row r="276" ht="12.75" customHeight="1" x14ac:dyDescent="0.25"/>
    <row r="277" ht="12.75" customHeight="1" x14ac:dyDescent="0.25"/>
    <row r="278" ht="12.75" customHeight="1" x14ac:dyDescent="0.25"/>
    <row r="279" ht="12.75" customHeight="1" x14ac:dyDescent="0.25"/>
    <row r="280" ht="12.75" customHeight="1" x14ac:dyDescent="0.25"/>
    <row r="281" ht="12.75" customHeight="1" x14ac:dyDescent="0.25"/>
    <row r="282" ht="12.75" customHeight="1" x14ac:dyDescent="0.25"/>
    <row r="283" ht="12.75" customHeight="1" x14ac:dyDescent="0.25"/>
    <row r="284" ht="12.75" customHeight="1" x14ac:dyDescent="0.25"/>
    <row r="285" ht="12.75" customHeight="1" x14ac:dyDescent="0.25"/>
    <row r="286" ht="12.75" customHeight="1" x14ac:dyDescent="0.25"/>
    <row r="287" ht="12.75" customHeight="1" x14ac:dyDescent="0.25"/>
    <row r="288" ht="12.75" customHeight="1" x14ac:dyDescent="0.25"/>
    <row r="289" ht="12.75" customHeight="1" x14ac:dyDescent="0.25"/>
    <row r="290" ht="12.75" customHeight="1" x14ac:dyDescent="0.25"/>
    <row r="291" ht="12.75" customHeight="1" x14ac:dyDescent="0.25"/>
    <row r="292" ht="12.75" customHeight="1" x14ac:dyDescent="0.25"/>
    <row r="293" ht="12.75" customHeight="1" x14ac:dyDescent="0.25"/>
    <row r="294" ht="12.75" customHeight="1" x14ac:dyDescent="0.25"/>
    <row r="295" ht="12.75" customHeight="1" x14ac:dyDescent="0.25"/>
    <row r="296" ht="12.75" customHeight="1" x14ac:dyDescent="0.25"/>
    <row r="297" ht="12.75" customHeight="1" x14ac:dyDescent="0.25"/>
    <row r="298" ht="12.75" customHeight="1" x14ac:dyDescent="0.25"/>
    <row r="299" ht="12.75" customHeight="1" x14ac:dyDescent="0.25"/>
    <row r="300" ht="12.75" customHeight="1" x14ac:dyDescent="0.25"/>
    <row r="301" ht="12.75" customHeight="1" x14ac:dyDescent="0.25"/>
    <row r="302" ht="12.75" customHeight="1" x14ac:dyDescent="0.25"/>
    <row r="303" ht="12.75" customHeight="1" x14ac:dyDescent="0.25"/>
    <row r="304" ht="12.75" customHeight="1" x14ac:dyDescent="0.25"/>
    <row r="305" ht="12.75" customHeight="1" x14ac:dyDescent="0.25"/>
    <row r="306" ht="12.75" customHeight="1" x14ac:dyDescent="0.25"/>
    <row r="307" ht="12.75" customHeight="1" x14ac:dyDescent="0.25"/>
    <row r="308" ht="12.75" customHeight="1" x14ac:dyDescent="0.25"/>
    <row r="309" ht="12.75" customHeight="1" x14ac:dyDescent="0.25"/>
    <row r="310" ht="12.75" customHeight="1" x14ac:dyDescent="0.25"/>
    <row r="311" ht="12.75" customHeight="1" x14ac:dyDescent="0.25"/>
    <row r="312" ht="12.75" customHeight="1" x14ac:dyDescent="0.25"/>
    <row r="313" ht="12.75" customHeight="1" x14ac:dyDescent="0.25"/>
    <row r="314" ht="12.75" customHeight="1" x14ac:dyDescent="0.25"/>
    <row r="315" ht="12.75" customHeight="1" x14ac:dyDescent="0.25"/>
    <row r="316" ht="12.75" customHeight="1" x14ac:dyDescent="0.25"/>
    <row r="317" ht="12.75" customHeight="1" x14ac:dyDescent="0.25"/>
    <row r="318" ht="12.75" customHeight="1" x14ac:dyDescent="0.25"/>
    <row r="319" ht="12.75" customHeight="1" x14ac:dyDescent="0.25"/>
    <row r="320" ht="12.75" customHeight="1" x14ac:dyDescent="0.25"/>
    <row r="321" ht="12.75" customHeight="1" x14ac:dyDescent="0.25"/>
    <row r="322" ht="12.75" customHeight="1" x14ac:dyDescent="0.25"/>
    <row r="323" ht="12.75" customHeight="1" x14ac:dyDescent="0.25"/>
    <row r="324" ht="12.75" customHeight="1" x14ac:dyDescent="0.25"/>
    <row r="325" ht="12.75" customHeight="1" x14ac:dyDescent="0.25"/>
    <row r="326" ht="12.75" customHeight="1" x14ac:dyDescent="0.25"/>
    <row r="327" ht="12.75" customHeight="1" x14ac:dyDescent="0.25"/>
    <row r="328" ht="12.75" customHeight="1" x14ac:dyDescent="0.25"/>
    <row r="329" ht="12.75" customHeight="1" x14ac:dyDescent="0.25"/>
    <row r="330" ht="12.75" customHeight="1" x14ac:dyDescent="0.25"/>
  </sheetData>
  <sheetProtection algorithmName="SHA-512" hashValue="EeV53q0UFKH7bbDbauS8ddu7G00JVxg7R65xCSr8lwwI95Sg99vjtNiRCVxkbZd20/bNOTzfAwa1q88KLdoJ/g==" saltValue="IZrPiGl98B/oLdCnHR8rZQ==" spinCount="100000" sheet="1" objects="1" scenarios="1" selectLockedCells="1" selectUnlockedCells="1"/>
  <mergeCells count="346">
    <mergeCell ref="A113:Q113"/>
    <mergeCell ref="A114:Q114"/>
    <mergeCell ref="A115:Q115"/>
    <mergeCell ref="A116:Q116"/>
    <mergeCell ref="A117:Q117"/>
    <mergeCell ref="A107:Q107"/>
    <mergeCell ref="A108:Q108"/>
    <mergeCell ref="A109:Q109"/>
    <mergeCell ref="A110:Q110"/>
    <mergeCell ref="A111:Q111"/>
    <mergeCell ref="A112:Q112"/>
    <mergeCell ref="A105:C105"/>
    <mergeCell ref="D105:G105"/>
    <mergeCell ref="I105:L105"/>
    <mergeCell ref="N105:O105"/>
    <mergeCell ref="A106:G106"/>
    <mergeCell ref="I106:L106"/>
    <mergeCell ref="N106:O106"/>
    <mergeCell ref="A103:C103"/>
    <mergeCell ref="E103:F103"/>
    <mergeCell ref="I103:L103"/>
    <mergeCell ref="N103:O103"/>
    <mergeCell ref="A104:C104"/>
    <mergeCell ref="D104:G104"/>
    <mergeCell ref="I104:L104"/>
    <mergeCell ref="N104:O104"/>
    <mergeCell ref="A101:C101"/>
    <mergeCell ref="E101:F101"/>
    <mergeCell ref="I101:L101"/>
    <mergeCell ref="N101:O101"/>
    <mergeCell ref="A102:C102"/>
    <mergeCell ref="E102:F102"/>
    <mergeCell ref="I102:L102"/>
    <mergeCell ref="N102:O102"/>
    <mergeCell ref="A99:C99"/>
    <mergeCell ref="E99:F99"/>
    <mergeCell ref="I99:L99"/>
    <mergeCell ref="N99:O99"/>
    <mergeCell ref="A100:C100"/>
    <mergeCell ref="E100:F100"/>
    <mergeCell ref="I100:L100"/>
    <mergeCell ref="N100:O100"/>
    <mergeCell ref="A97:C97"/>
    <mergeCell ref="D97:G97"/>
    <mergeCell ref="I97:L97"/>
    <mergeCell ref="N97:O97"/>
    <mergeCell ref="A98:C98"/>
    <mergeCell ref="D98:G98"/>
    <mergeCell ref="I98:L98"/>
    <mergeCell ref="N98:O98"/>
    <mergeCell ref="P93:P94"/>
    <mergeCell ref="Q93:Q94"/>
    <mergeCell ref="A94:G95"/>
    <mergeCell ref="I95:L96"/>
    <mergeCell ref="M95:M96"/>
    <mergeCell ref="N95:O96"/>
    <mergeCell ref="P95:P96"/>
    <mergeCell ref="Q95:Q96"/>
    <mergeCell ref="A96:G96"/>
    <mergeCell ref="A92:G92"/>
    <mergeCell ref="I92:L92"/>
    <mergeCell ref="N92:O92"/>
    <mergeCell ref="A93:G93"/>
    <mergeCell ref="I93:L94"/>
    <mergeCell ref="M93:M94"/>
    <mergeCell ref="N93:O94"/>
    <mergeCell ref="A90:G90"/>
    <mergeCell ref="I90:L90"/>
    <mergeCell ref="N90:O90"/>
    <mergeCell ref="A91:G91"/>
    <mergeCell ref="I91:L91"/>
    <mergeCell ref="N91:O91"/>
    <mergeCell ref="A88:G88"/>
    <mergeCell ref="I88:L88"/>
    <mergeCell ref="N88:O88"/>
    <mergeCell ref="A89:G89"/>
    <mergeCell ref="I89:L89"/>
    <mergeCell ref="N89:O89"/>
    <mergeCell ref="A86:G86"/>
    <mergeCell ref="I86:L86"/>
    <mergeCell ref="N86:O86"/>
    <mergeCell ref="A87:G87"/>
    <mergeCell ref="I87:L87"/>
    <mergeCell ref="N87:O87"/>
    <mergeCell ref="A84:G84"/>
    <mergeCell ref="I84:L84"/>
    <mergeCell ref="N84:O84"/>
    <mergeCell ref="A85:G85"/>
    <mergeCell ref="I85:L85"/>
    <mergeCell ref="N85:O85"/>
    <mergeCell ref="B82:D82"/>
    <mergeCell ref="F82:G82"/>
    <mergeCell ref="I82:L82"/>
    <mergeCell ref="N82:O82"/>
    <mergeCell ref="A83:G83"/>
    <mergeCell ref="I83:L83"/>
    <mergeCell ref="N83:O83"/>
    <mergeCell ref="B80:D80"/>
    <mergeCell ref="F80:G80"/>
    <mergeCell ref="I80:L80"/>
    <mergeCell ref="N80:O80"/>
    <mergeCell ref="B81:D81"/>
    <mergeCell ref="F81:G81"/>
    <mergeCell ref="I81:L81"/>
    <mergeCell ref="N81:O81"/>
    <mergeCell ref="B78:D78"/>
    <mergeCell ref="F78:G78"/>
    <mergeCell ref="I78:L78"/>
    <mergeCell ref="N78:O78"/>
    <mergeCell ref="B79:D79"/>
    <mergeCell ref="F79:G79"/>
    <mergeCell ref="I79:L79"/>
    <mergeCell ref="N79:O79"/>
    <mergeCell ref="B76:D76"/>
    <mergeCell ref="F76:G76"/>
    <mergeCell ref="I76:L76"/>
    <mergeCell ref="N76:O76"/>
    <mergeCell ref="B77:D77"/>
    <mergeCell ref="F77:G77"/>
    <mergeCell ref="I77:L77"/>
    <mergeCell ref="N77:O77"/>
    <mergeCell ref="A74:B74"/>
    <mergeCell ref="C74:G74"/>
    <mergeCell ref="I74:L74"/>
    <mergeCell ref="N74:O74"/>
    <mergeCell ref="A75:G75"/>
    <mergeCell ref="I75:L75"/>
    <mergeCell ref="N75:O75"/>
    <mergeCell ref="A72:B72"/>
    <mergeCell ref="C72:G72"/>
    <mergeCell ref="I72:L72"/>
    <mergeCell ref="N72:O72"/>
    <mergeCell ref="A73:B73"/>
    <mergeCell ref="C73:G73"/>
    <mergeCell ref="I73:L73"/>
    <mergeCell ref="N73:O73"/>
    <mergeCell ref="N65:O65"/>
    <mergeCell ref="A70:B70"/>
    <mergeCell ref="C70:G70"/>
    <mergeCell ref="I70:L70"/>
    <mergeCell ref="N70:O70"/>
    <mergeCell ref="A71:B71"/>
    <mergeCell ref="C71:G71"/>
    <mergeCell ref="I71:L71"/>
    <mergeCell ref="N71:O71"/>
    <mergeCell ref="A68:B68"/>
    <mergeCell ref="C68:G68"/>
    <mergeCell ref="I68:L68"/>
    <mergeCell ref="N68:O68"/>
    <mergeCell ref="A69:B69"/>
    <mergeCell ref="C69:G69"/>
    <mergeCell ref="I69:L69"/>
    <mergeCell ref="N69:O69"/>
    <mergeCell ref="A59:Q59"/>
    <mergeCell ref="A60:Q60"/>
    <mergeCell ref="A61:Q61"/>
    <mergeCell ref="A62:G62"/>
    <mergeCell ref="H62:H106"/>
    <mergeCell ref="I62:Q62"/>
    <mergeCell ref="A63:G63"/>
    <mergeCell ref="I63:L63"/>
    <mergeCell ref="N63:O63"/>
    <mergeCell ref="A64:B64"/>
    <mergeCell ref="A66:B66"/>
    <mergeCell ref="C66:G66"/>
    <mergeCell ref="I66:L66"/>
    <mergeCell ref="N66:O66"/>
    <mergeCell ref="A67:B67"/>
    <mergeCell ref="C67:G67"/>
    <mergeCell ref="I67:L67"/>
    <mergeCell ref="N67:O67"/>
    <mergeCell ref="C64:G64"/>
    <mergeCell ref="I64:L64"/>
    <mergeCell ref="N64:O64"/>
    <mergeCell ref="A65:B65"/>
    <mergeCell ref="C65:G65"/>
    <mergeCell ref="I65:L65"/>
    <mergeCell ref="A53:Q53"/>
    <mergeCell ref="A54:Q54"/>
    <mergeCell ref="A55:Q55"/>
    <mergeCell ref="A56:Q56"/>
    <mergeCell ref="A57:Q57"/>
    <mergeCell ref="A58:Q58"/>
    <mergeCell ref="A51:C51"/>
    <mergeCell ref="E51:F51"/>
    <mergeCell ref="H51:I51"/>
    <mergeCell ref="L51:M51"/>
    <mergeCell ref="N51:O51"/>
    <mergeCell ref="A52:C52"/>
    <mergeCell ref="E52:F52"/>
    <mergeCell ref="H52:I52"/>
    <mergeCell ref="L52:M52"/>
    <mergeCell ref="N52:Q52"/>
    <mergeCell ref="A48:Q48"/>
    <mergeCell ref="A49:Q49"/>
    <mergeCell ref="A50:C50"/>
    <mergeCell ref="E50:F50"/>
    <mergeCell ref="H50:I50"/>
    <mergeCell ref="L50:M50"/>
    <mergeCell ref="N50:O50"/>
    <mergeCell ref="A46:C46"/>
    <mergeCell ref="E46:F46"/>
    <mergeCell ref="H46:J46"/>
    <mergeCell ref="L46:M46"/>
    <mergeCell ref="O46:P46"/>
    <mergeCell ref="A47:C47"/>
    <mergeCell ref="E47:F47"/>
    <mergeCell ref="H47:J47"/>
    <mergeCell ref="L47:M47"/>
    <mergeCell ref="O47:P47"/>
    <mergeCell ref="A43:Q43"/>
    <mergeCell ref="A44:Q44"/>
    <mergeCell ref="A45:C45"/>
    <mergeCell ref="D45:F45"/>
    <mergeCell ref="G45:I45"/>
    <mergeCell ref="O45:P45"/>
    <mergeCell ref="A41:D41"/>
    <mergeCell ref="F41:I41"/>
    <mergeCell ref="K41:M41"/>
    <mergeCell ref="O41:P41"/>
    <mergeCell ref="A42:D42"/>
    <mergeCell ref="F42:I42"/>
    <mergeCell ref="K42:M42"/>
    <mergeCell ref="O42:P42"/>
    <mergeCell ref="A38:Q38"/>
    <mergeCell ref="A39:Q39"/>
    <mergeCell ref="A40:D40"/>
    <mergeCell ref="F40:I40"/>
    <mergeCell ref="K40:M40"/>
    <mergeCell ref="O40:P40"/>
    <mergeCell ref="A36:E36"/>
    <mergeCell ref="G36:K36"/>
    <mergeCell ref="M36:P36"/>
    <mergeCell ref="A37:E37"/>
    <mergeCell ref="G37:K37"/>
    <mergeCell ref="M37:P37"/>
    <mergeCell ref="A34:E34"/>
    <mergeCell ref="G34:K34"/>
    <mergeCell ref="M34:P34"/>
    <mergeCell ref="A35:E35"/>
    <mergeCell ref="G35:K35"/>
    <mergeCell ref="M35:P35"/>
    <mergeCell ref="A32:E32"/>
    <mergeCell ref="G32:K32"/>
    <mergeCell ref="M32:P32"/>
    <mergeCell ref="A33:E33"/>
    <mergeCell ref="G33:K33"/>
    <mergeCell ref="M33:P33"/>
    <mergeCell ref="A30:E30"/>
    <mergeCell ref="G30:K30"/>
    <mergeCell ref="M30:P30"/>
    <mergeCell ref="A31:E31"/>
    <mergeCell ref="G31:K31"/>
    <mergeCell ref="M31:P31"/>
    <mergeCell ref="A28:E28"/>
    <mergeCell ref="G28:K28"/>
    <mergeCell ref="M28:P28"/>
    <mergeCell ref="A29:E29"/>
    <mergeCell ref="G29:K29"/>
    <mergeCell ref="M29:P29"/>
    <mergeCell ref="A26:E26"/>
    <mergeCell ref="G26:K26"/>
    <mergeCell ref="M26:P26"/>
    <mergeCell ref="A27:E27"/>
    <mergeCell ref="G27:K27"/>
    <mergeCell ref="M27:P27"/>
    <mergeCell ref="A24:E24"/>
    <mergeCell ref="G24:K24"/>
    <mergeCell ref="M24:P24"/>
    <mergeCell ref="A25:E25"/>
    <mergeCell ref="G25:K25"/>
    <mergeCell ref="M25:P25"/>
    <mergeCell ref="A20:Q20"/>
    <mergeCell ref="A21:Q21"/>
    <mergeCell ref="A22:E22"/>
    <mergeCell ref="G22:K22"/>
    <mergeCell ref="M22:P22"/>
    <mergeCell ref="A23:E23"/>
    <mergeCell ref="G23:K23"/>
    <mergeCell ref="M23:P23"/>
    <mergeCell ref="A18:E18"/>
    <mergeCell ref="G18:K18"/>
    <mergeCell ref="M18:P18"/>
    <mergeCell ref="A19:E19"/>
    <mergeCell ref="G19:K19"/>
    <mergeCell ref="M19:P19"/>
    <mergeCell ref="A16:E16"/>
    <mergeCell ref="G16:K16"/>
    <mergeCell ref="M16:P16"/>
    <mergeCell ref="A17:E17"/>
    <mergeCell ref="G17:K17"/>
    <mergeCell ref="M17:P17"/>
    <mergeCell ref="A12:Q12"/>
    <mergeCell ref="A13:Q13"/>
    <mergeCell ref="B14:C14"/>
    <mergeCell ref="G14:K14"/>
    <mergeCell ref="M14:P14"/>
    <mergeCell ref="A15:E15"/>
    <mergeCell ref="G15:K15"/>
    <mergeCell ref="M15:P15"/>
    <mergeCell ref="D11:E11"/>
    <mergeCell ref="F11:G11"/>
    <mergeCell ref="H11:J11"/>
    <mergeCell ref="K11:L11"/>
    <mergeCell ref="M11:O11"/>
    <mergeCell ref="P11:Q11"/>
    <mergeCell ref="D10:E10"/>
    <mergeCell ref="F10:G10"/>
    <mergeCell ref="H10:J10"/>
    <mergeCell ref="K10:L10"/>
    <mergeCell ref="M10:O10"/>
    <mergeCell ref="P10:Q10"/>
    <mergeCell ref="P9:Q9"/>
    <mergeCell ref="D7:E7"/>
    <mergeCell ref="F7:J7"/>
    <mergeCell ref="K7:M7"/>
    <mergeCell ref="N7:Q7"/>
    <mergeCell ref="D8:E8"/>
    <mergeCell ref="F8:G8"/>
    <mergeCell ref="H8:I8"/>
    <mergeCell ref="K8:M8"/>
    <mergeCell ref="N8:Q8"/>
    <mergeCell ref="A1:Q1"/>
    <mergeCell ref="A2:Q2"/>
    <mergeCell ref="A3:B3"/>
    <mergeCell ref="C3:C11"/>
    <mergeCell ref="D3:Q3"/>
    <mergeCell ref="D4:E4"/>
    <mergeCell ref="F4:J4"/>
    <mergeCell ref="K4:M4"/>
    <mergeCell ref="N4:Q4"/>
    <mergeCell ref="D5:E5"/>
    <mergeCell ref="F5:G5"/>
    <mergeCell ref="H5:I5"/>
    <mergeCell ref="K5:M5"/>
    <mergeCell ref="N5:Q5"/>
    <mergeCell ref="D6:E6"/>
    <mergeCell ref="F6:G6"/>
    <mergeCell ref="H6:I6"/>
    <mergeCell ref="K6:M6"/>
    <mergeCell ref="N6:Q6"/>
    <mergeCell ref="D9:E9"/>
    <mergeCell ref="F9:G9"/>
    <mergeCell ref="H9:J9"/>
    <mergeCell ref="K9:L9"/>
    <mergeCell ref="M9:O9"/>
  </mergeCells>
  <pageMargins left="0.7" right="0.7" top="0.75" bottom="0.75" header="0.3" footer="0.3"/>
  <pageSetup orientation="portrait" horizontalDpi="4294967293" r:id="rId1"/>
  <headerFooter>
    <oddFooter>&amp;L&amp;8© Copyright 2018 Palladium Books, Inc, all rights reserved, worldwide.
The Palladium Books Fantasy Role-Playing Game is Trademark by Palladium Books Inc.&amp;R&amp;8For personal use only.</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74D325-74F5-45F5-BAA9-BDAEEE5DE817}">
  <sheetPr>
    <tabColor theme="0"/>
  </sheetPr>
  <dimension ref="A1:Q129"/>
  <sheetViews>
    <sheetView showGridLines="0" zoomScaleNormal="100" workbookViewId="0">
      <pane ySplit="5" topLeftCell="A6" activePane="bottomLeft" state="frozen"/>
      <selection pane="bottomLeft" sqref="A1:Q1"/>
    </sheetView>
  </sheetViews>
  <sheetFormatPr defaultRowHeight="15" x14ac:dyDescent="0.25"/>
  <cols>
    <col min="1" max="4" width="6" style="543" customWidth="1"/>
    <col min="5" max="5" width="5.28515625" style="543" customWidth="1"/>
    <col min="6" max="6" width="0.7109375" style="543" customWidth="1"/>
    <col min="7" max="10" width="6" style="543" customWidth="1"/>
    <col min="11" max="11" width="5.28515625" style="543" customWidth="1"/>
    <col min="12" max="12" width="0.7109375" style="543" customWidth="1"/>
    <col min="13" max="18" width="6" style="543" customWidth="1"/>
    <col min="19" max="16384" width="9.140625" style="543"/>
  </cols>
  <sheetData>
    <row r="1" spans="1:17" ht="18.75" customHeight="1" thickBot="1" x14ac:dyDescent="0.35">
      <c r="A1" s="1267" t="s">
        <v>1</v>
      </c>
      <c r="B1" s="1268"/>
      <c r="C1" s="1268"/>
      <c r="D1" s="1268"/>
      <c r="E1" s="1268"/>
      <c r="F1" s="1268"/>
      <c r="G1" s="1268"/>
      <c r="H1" s="1268"/>
      <c r="I1" s="1268"/>
      <c r="J1" s="1268"/>
      <c r="K1" s="1268"/>
      <c r="L1" s="1268"/>
      <c r="M1" s="1268"/>
      <c r="N1" s="1268"/>
      <c r="O1" s="1268"/>
      <c r="P1" s="1268"/>
      <c r="Q1" s="1269"/>
    </row>
    <row r="2" spans="1:17" ht="3.75" customHeight="1" thickBot="1" x14ac:dyDescent="0.4">
      <c r="A2" s="599"/>
      <c r="B2" s="599"/>
      <c r="C2" s="599"/>
      <c r="D2" s="599"/>
      <c r="E2" s="599"/>
      <c r="F2" s="599"/>
      <c r="G2" s="599"/>
      <c r="H2" s="599"/>
      <c r="I2" s="599"/>
      <c r="J2" s="599"/>
      <c r="K2" s="599"/>
      <c r="L2" s="599"/>
      <c r="M2" s="599"/>
      <c r="N2" s="599"/>
      <c r="O2" s="599"/>
      <c r="P2" s="599"/>
      <c r="Q2" s="599"/>
    </row>
    <row r="3" spans="1:17" ht="15.75" thickBot="1" x14ac:dyDescent="0.3">
      <c r="A3" s="1191" t="s">
        <v>20</v>
      </c>
      <c r="B3" s="1192"/>
      <c r="C3" s="1192"/>
      <c r="D3" s="1192"/>
      <c r="E3" s="1192"/>
      <c r="F3" s="1192"/>
      <c r="G3" s="1192"/>
      <c r="H3" s="1285"/>
      <c r="I3" s="545"/>
      <c r="J3" s="1191" t="s">
        <v>150</v>
      </c>
      <c r="K3" s="1192"/>
      <c r="L3" s="1192"/>
      <c r="M3" s="1192"/>
      <c r="N3" s="1192"/>
      <c r="O3" s="1192"/>
      <c r="P3" s="1192"/>
      <c r="Q3" s="1285"/>
    </row>
    <row r="4" spans="1:17" ht="12.75" customHeight="1" thickBot="1" x14ac:dyDescent="0.3">
      <c r="A4" s="546" t="s">
        <v>163</v>
      </c>
      <c r="B4" s="547">
        <f>total_ppe</f>
        <v>0</v>
      </c>
      <c r="C4" s="548" t="s">
        <v>173</v>
      </c>
      <c r="D4" s="547" t="str">
        <f>IF('Magic &amp; Psionics'!D4="", "", 'Magic &amp; Psionics'!D4)</f>
        <v/>
      </c>
      <c r="E4" s="1295" t="s">
        <v>174</v>
      </c>
      <c r="F4" s="1295"/>
      <c r="G4" s="1295"/>
      <c r="H4" s="549" t="str">
        <f>IF(D4="", "", B4-D4)</f>
        <v/>
      </c>
      <c r="I4" s="545"/>
      <c r="J4" s="546" t="s">
        <v>163</v>
      </c>
      <c r="K4" s="1296">
        <f>total_isp</f>
        <v>0</v>
      </c>
      <c r="L4" s="1297"/>
      <c r="M4" s="550" t="s">
        <v>173</v>
      </c>
      <c r="N4" s="547" t="str">
        <f>IF('Magic &amp; Psionics'!N4="", "", 'Magic &amp; Psionics'!N4)</f>
        <v/>
      </c>
      <c r="O4" s="1295" t="s">
        <v>174</v>
      </c>
      <c r="P4" s="1295"/>
      <c r="Q4" s="549" t="str">
        <f>IF(N4="", "", K4-N4)</f>
        <v/>
      </c>
    </row>
    <row r="5" spans="1:17" ht="3.75" customHeight="1" thickBot="1" x14ac:dyDescent="0.3">
      <c r="A5" s="545"/>
      <c r="B5" s="545"/>
      <c r="C5" s="545"/>
      <c r="D5" s="545"/>
      <c r="E5" s="551"/>
      <c r="F5" s="551"/>
      <c r="G5" s="551"/>
      <c r="H5" s="545"/>
      <c r="I5" s="545"/>
      <c r="J5" s="545"/>
      <c r="K5" s="545"/>
      <c r="L5" s="545"/>
      <c r="M5" s="545"/>
      <c r="N5" s="545"/>
      <c r="O5" s="551"/>
      <c r="P5" s="551"/>
      <c r="Q5" s="545"/>
    </row>
    <row r="6" spans="1:17" ht="15.75" thickBot="1" x14ac:dyDescent="0.3">
      <c r="A6" s="1139" t="s">
        <v>175</v>
      </c>
      <c r="B6" s="1298"/>
      <c r="C6" s="1298"/>
      <c r="D6" s="1298"/>
      <c r="E6" s="1298"/>
      <c r="F6" s="1298"/>
      <c r="G6" s="1298"/>
      <c r="H6" s="1298"/>
      <c r="I6" s="1298"/>
      <c r="J6" s="1298"/>
      <c r="K6" s="1298"/>
      <c r="L6" s="1298"/>
      <c r="M6" s="1298"/>
      <c r="N6" s="1298"/>
      <c r="O6" s="1298"/>
      <c r="P6" s="1298"/>
      <c r="Q6" s="1140"/>
    </row>
    <row r="7" spans="1:17" ht="3.75" customHeight="1" thickBot="1" x14ac:dyDescent="0.3">
      <c r="A7" s="552"/>
      <c r="B7" s="552"/>
      <c r="C7" s="552"/>
      <c r="D7" s="552"/>
      <c r="E7" s="552"/>
      <c r="F7" s="552"/>
      <c r="G7" s="552"/>
      <c r="H7" s="552"/>
      <c r="I7" s="552"/>
      <c r="J7" s="552"/>
      <c r="K7" s="552"/>
      <c r="L7" s="552"/>
      <c r="M7" s="552"/>
      <c r="N7" s="552"/>
      <c r="O7" s="552"/>
      <c r="P7" s="552"/>
      <c r="Q7" s="552"/>
    </row>
    <row r="8" spans="1:17" ht="12.75" customHeight="1" x14ac:dyDescent="0.25">
      <c r="A8" s="1292" t="s">
        <v>5</v>
      </c>
      <c r="B8" s="1227"/>
      <c r="C8" s="1251" t="str">
        <f>IF('Magic &amp; Psionics'!C8="", "", 'Magic &amp; Psionics'!C8)</f>
        <v/>
      </c>
      <c r="D8" s="1251"/>
      <c r="E8" s="1252"/>
      <c r="F8" s="551"/>
      <c r="G8" s="1292" t="s">
        <v>5</v>
      </c>
      <c r="H8" s="1227"/>
      <c r="I8" s="1251" t="str">
        <f>IF('Magic &amp; Psionics'!I8="", "", 'Magic &amp; Psionics'!I8)</f>
        <v/>
      </c>
      <c r="J8" s="1251"/>
      <c r="K8" s="1252"/>
      <c r="L8" s="551"/>
      <c r="M8" s="1292" t="s">
        <v>5</v>
      </c>
      <c r="N8" s="1227"/>
      <c r="O8" s="1251" t="str">
        <f>IF('Magic &amp; Psionics'!O8="", "", 'Magic &amp; Psionics'!O8)</f>
        <v/>
      </c>
      <c r="P8" s="1251"/>
      <c r="Q8" s="1252"/>
    </row>
    <row r="9" spans="1:17" ht="12.75" customHeight="1" x14ac:dyDescent="0.25">
      <c r="A9" s="1149" t="s">
        <v>176</v>
      </c>
      <c r="B9" s="1150"/>
      <c r="C9" s="1151" t="str">
        <f>IF('Magic &amp; Psionics'!C9="", "", 'Magic &amp; Psionics'!C9)</f>
        <v/>
      </c>
      <c r="D9" s="1278"/>
      <c r="E9" s="1160"/>
      <c r="F9" s="551"/>
      <c r="G9" s="1149" t="s">
        <v>176</v>
      </c>
      <c r="H9" s="1150"/>
      <c r="I9" s="1151" t="str">
        <f>IF('Magic &amp; Psionics'!I9="", "", 'Magic &amp; Psionics'!I9)</f>
        <v/>
      </c>
      <c r="J9" s="1278"/>
      <c r="K9" s="1160"/>
      <c r="L9" s="551"/>
      <c r="M9" s="1149" t="s">
        <v>176</v>
      </c>
      <c r="N9" s="1150"/>
      <c r="O9" s="1151" t="str">
        <f>IF('Magic &amp; Psionics'!O9="", "", 'Magic &amp; Psionics'!O9)</f>
        <v/>
      </c>
      <c r="P9" s="1278"/>
      <c r="Q9" s="1160"/>
    </row>
    <row r="10" spans="1:17" ht="12.75" customHeight="1" x14ac:dyDescent="0.25">
      <c r="A10" s="1149" t="s">
        <v>177</v>
      </c>
      <c r="B10" s="1150"/>
      <c r="C10" s="1151" t="str">
        <f>IF('Magic &amp; Psionics'!C10="", "", 'Magic &amp; Psionics'!C10)</f>
        <v/>
      </c>
      <c r="D10" s="1278"/>
      <c r="E10" s="1160"/>
      <c r="F10" s="551"/>
      <c r="G10" s="1149" t="s">
        <v>177</v>
      </c>
      <c r="H10" s="1150"/>
      <c r="I10" s="1151" t="str">
        <f>IF('Magic &amp; Psionics'!I10="", "", 'Magic &amp; Psionics'!I10)</f>
        <v/>
      </c>
      <c r="J10" s="1278"/>
      <c r="K10" s="1160"/>
      <c r="L10" s="551"/>
      <c r="M10" s="1149" t="s">
        <v>177</v>
      </c>
      <c r="N10" s="1150"/>
      <c r="O10" s="1151" t="str">
        <f>IF('Magic &amp; Psionics'!O10="", "", 'Magic &amp; Psionics'!O10)</f>
        <v/>
      </c>
      <c r="P10" s="1278"/>
      <c r="Q10" s="1160"/>
    </row>
    <row r="11" spans="1:17" ht="12.75" customHeight="1" x14ac:dyDescent="0.25">
      <c r="A11" s="1149" t="s">
        <v>178</v>
      </c>
      <c r="B11" s="1150"/>
      <c r="C11" s="1151" t="str">
        <f>IF('Magic &amp; Psionics'!C11="", "", 'Magic &amp; Psionics'!C11)</f>
        <v/>
      </c>
      <c r="D11" s="1278"/>
      <c r="E11" s="1160"/>
      <c r="F11" s="551"/>
      <c r="G11" s="1149" t="s">
        <v>178</v>
      </c>
      <c r="H11" s="1150"/>
      <c r="I11" s="1151" t="str">
        <f>IF('Magic &amp; Psionics'!I11="", "", 'Magic &amp; Psionics'!I11)</f>
        <v/>
      </c>
      <c r="J11" s="1278"/>
      <c r="K11" s="1160"/>
      <c r="L11" s="551"/>
      <c r="M11" s="1149" t="s">
        <v>178</v>
      </c>
      <c r="N11" s="1150"/>
      <c r="O11" s="1151" t="str">
        <f>IF('Magic &amp; Psionics'!O11="", "", 'Magic &amp; Psionics'!O11)</f>
        <v/>
      </c>
      <c r="P11" s="1278"/>
      <c r="Q11" s="1160"/>
    </row>
    <row r="12" spans="1:17" ht="12.75" customHeight="1" x14ac:dyDescent="0.25">
      <c r="A12" s="1149" t="s">
        <v>179</v>
      </c>
      <c r="B12" s="1150"/>
      <c r="C12" s="1151" t="str">
        <f>IF('Magic &amp; Psionics'!C12="", "", 'Magic &amp; Psionics'!C12)</f>
        <v/>
      </c>
      <c r="D12" s="1278"/>
      <c r="E12" s="1160"/>
      <c r="F12" s="551"/>
      <c r="G12" s="1149" t="s">
        <v>179</v>
      </c>
      <c r="H12" s="1150"/>
      <c r="I12" s="1151" t="str">
        <f>IF('Magic &amp; Psionics'!I12="", "", 'Magic &amp; Psionics'!I12)</f>
        <v/>
      </c>
      <c r="J12" s="1278"/>
      <c r="K12" s="1160"/>
      <c r="L12" s="551"/>
      <c r="M12" s="1149" t="s">
        <v>179</v>
      </c>
      <c r="N12" s="1150"/>
      <c r="O12" s="1151" t="str">
        <f>IF('Magic &amp; Psionics'!O12="", "", 'Magic &amp; Psionics'!O12)</f>
        <v/>
      </c>
      <c r="P12" s="1278"/>
      <c r="Q12" s="1160"/>
    </row>
    <row r="13" spans="1:17" ht="12.75" customHeight="1" x14ac:dyDescent="0.25">
      <c r="A13" s="1149" t="s">
        <v>180</v>
      </c>
      <c r="B13" s="1150"/>
      <c r="C13" s="1151" t="str">
        <f>IF('Magic &amp; Psionics'!C13="", "", 'Magic &amp; Psionics'!C13)</f>
        <v/>
      </c>
      <c r="D13" s="1278"/>
      <c r="E13" s="1160"/>
      <c r="F13" s="551"/>
      <c r="G13" s="1149" t="s">
        <v>180</v>
      </c>
      <c r="H13" s="1150"/>
      <c r="I13" s="1151" t="str">
        <f>IF('Magic &amp; Psionics'!I13="", "", 'Magic &amp; Psionics'!I13)</f>
        <v/>
      </c>
      <c r="J13" s="1278"/>
      <c r="K13" s="1160"/>
      <c r="L13" s="551"/>
      <c r="M13" s="1149" t="s">
        <v>180</v>
      </c>
      <c r="N13" s="1150"/>
      <c r="O13" s="1151" t="str">
        <f>IF('Magic &amp; Psionics'!O13="", "", 'Magic &amp; Psionics'!O13)</f>
        <v/>
      </c>
      <c r="P13" s="1278"/>
      <c r="Q13" s="1160"/>
    </row>
    <row r="14" spans="1:17" ht="12.75" customHeight="1" thickBot="1" x14ac:dyDescent="0.3">
      <c r="A14" s="553" t="s">
        <v>103</v>
      </c>
      <c r="B14" s="1265" t="str">
        <f>IF('Magic &amp; Psionics'!B14="", "", 'Magic &amp; Psionics'!B14)</f>
        <v/>
      </c>
      <c r="C14" s="1265"/>
      <c r="D14" s="1265"/>
      <c r="E14" s="1266"/>
      <c r="F14" s="551"/>
      <c r="G14" s="553" t="s">
        <v>103</v>
      </c>
      <c r="H14" s="1265" t="str">
        <f>IF('Magic &amp; Psionics'!H14="", "", 'Magic &amp; Psionics'!H14)</f>
        <v/>
      </c>
      <c r="I14" s="1265"/>
      <c r="J14" s="1265"/>
      <c r="K14" s="1266"/>
      <c r="L14" s="551"/>
      <c r="M14" s="553" t="s">
        <v>103</v>
      </c>
      <c r="N14" s="1265" t="str">
        <f>IF('Magic &amp; Psionics'!N14="", "", 'Magic &amp; Psionics'!N14)</f>
        <v/>
      </c>
      <c r="O14" s="1265"/>
      <c r="P14" s="1265"/>
      <c r="Q14" s="1266"/>
    </row>
    <row r="15" spans="1:17" ht="3.75" customHeight="1" thickBot="1" x14ac:dyDescent="0.3">
      <c r="A15" s="551"/>
      <c r="B15" s="551"/>
      <c r="C15" s="551"/>
      <c r="D15" s="551"/>
      <c r="E15" s="551"/>
      <c r="F15" s="551"/>
      <c r="G15" s="551"/>
      <c r="H15" s="551"/>
      <c r="I15" s="551"/>
      <c r="J15" s="551"/>
      <c r="K15" s="551"/>
      <c r="L15" s="551"/>
      <c r="M15" s="551"/>
      <c r="N15" s="551"/>
      <c r="O15" s="551"/>
      <c r="P15" s="551"/>
      <c r="Q15" s="551"/>
    </row>
    <row r="16" spans="1:17" ht="12.75" customHeight="1" x14ac:dyDescent="0.25">
      <c r="A16" s="1292" t="s">
        <v>5</v>
      </c>
      <c r="B16" s="1227"/>
      <c r="C16" s="1251" t="str">
        <f>IF('Magic &amp; Psionics'!C16="", "", 'Magic &amp; Psionics'!C16)</f>
        <v/>
      </c>
      <c r="D16" s="1251"/>
      <c r="E16" s="1252"/>
      <c r="F16" s="551"/>
      <c r="G16" s="1292" t="s">
        <v>5</v>
      </c>
      <c r="H16" s="1227"/>
      <c r="I16" s="1251" t="str">
        <f>IF('Magic &amp; Psionics'!I16="", "", 'Magic &amp; Psionics'!I16)</f>
        <v/>
      </c>
      <c r="J16" s="1251"/>
      <c r="K16" s="1252"/>
      <c r="L16" s="551"/>
      <c r="M16" s="1292" t="s">
        <v>5</v>
      </c>
      <c r="N16" s="1227"/>
      <c r="O16" s="1251" t="str">
        <f>IF('Magic &amp; Psionics'!O16="", "", 'Magic &amp; Psionics'!O16)</f>
        <v/>
      </c>
      <c r="P16" s="1251"/>
      <c r="Q16" s="1252"/>
    </row>
    <row r="17" spans="1:17" ht="12.75" customHeight="1" x14ac:dyDescent="0.25">
      <c r="A17" s="1149" t="s">
        <v>176</v>
      </c>
      <c r="B17" s="1150"/>
      <c r="C17" s="1151" t="str">
        <f>IF('Magic &amp; Psionics'!C17="", "", 'Magic &amp; Psionics'!C17)</f>
        <v/>
      </c>
      <c r="D17" s="1278"/>
      <c r="E17" s="1160"/>
      <c r="F17" s="551"/>
      <c r="G17" s="1149" t="s">
        <v>176</v>
      </c>
      <c r="H17" s="1150"/>
      <c r="I17" s="1151" t="str">
        <f>IF('Magic &amp; Psionics'!I17="", "", 'Magic &amp; Psionics'!I17)</f>
        <v/>
      </c>
      <c r="J17" s="1278"/>
      <c r="K17" s="1160"/>
      <c r="L17" s="551"/>
      <c r="M17" s="1149" t="s">
        <v>176</v>
      </c>
      <c r="N17" s="1150"/>
      <c r="O17" s="1151" t="str">
        <f>IF('Magic &amp; Psionics'!O17="", "", 'Magic &amp; Psionics'!O17)</f>
        <v/>
      </c>
      <c r="P17" s="1278"/>
      <c r="Q17" s="1160"/>
    </row>
    <row r="18" spans="1:17" ht="12.75" customHeight="1" x14ac:dyDescent="0.25">
      <c r="A18" s="1149" t="s">
        <v>177</v>
      </c>
      <c r="B18" s="1150"/>
      <c r="C18" s="1151" t="str">
        <f>IF('Magic &amp; Psionics'!C18="", "", 'Magic &amp; Psionics'!C18)</f>
        <v/>
      </c>
      <c r="D18" s="1278"/>
      <c r="E18" s="1160"/>
      <c r="F18" s="551"/>
      <c r="G18" s="1149" t="s">
        <v>177</v>
      </c>
      <c r="H18" s="1150"/>
      <c r="I18" s="1151" t="str">
        <f>IF('Magic &amp; Psionics'!I18="", "", 'Magic &amp; Psionics'!I18)</f>
        <v/>
      </c>
      <c r="J18" s="1278"/>
      <c r="K18" s="1160"/>
      <c r="L18" s="551"/>
      <c r="M18" s="1149" t="s">
        <v>177</v>
      </c>
      <c r="N18" s="1150"/>
      <c r="O18" s="1151" t="str">
        <f>IF('Magic &amp; Psionics'!O18="", "", 'Magic &amp; Psionics'!O18)</f>
        <v/>
      </c>
      <c r="P18" s="1278"/>
      <c r="Q18" s="1160"/>
    </row>
    <row r="19" spans="1:17" ht="12.75" customHeight="1" x14ac:dyDescent="0.25">
      <c r="A19" s="1149" t="s">
        <v>178</v>
      </c>
      <c r="B19" s="1150"/>
      <c r="C19" s="1151" t="str">
        <f>IF('Magic &amp; Psionics'!C19="", "", 'Magic &amp; Psionics'!C19)</f>
        <v/>
      </c>
      <c r="D19" s="1278"/>
      <c r="E19" s="1160"/>
      <c r="F19" s="551"/>
      <c r="G19" s="1149" t="s">
        <v>178</v>
      </c>
      <c r="H19" s="1150"/>
      <c r="I19" s="1151" t="str">
        <f>IF('Magic &amp; Psionics'!I19="", "", 'Magic &amp; Psionics'!I19)</f>
        <v/>
      </c>
      <c r="J19" s="1278"/>
      <c r="K19" s="1160"/>
      <c r="L19" s="551"/>
      <c r="M19" s="1149" t="s">
        <v>178</v>
      </c>
      <c r="N19" s="1150"/>
      <c r="O19" s="1151" t="str">
        <f>IF('Magic &amp; Psionics'!O19="", "", 'Magic &amp; Psionics'!O19)</f>
        <v/>
      </c>
      <c r="P19" s="1278"/>
      <c r="Q19" s="1160"/>
    </row>
    <row r="20" spans="1:17" ht="12.75" customHeight="1" x14ac:dyDescent="0.25">
      <c r="A20" s="1149" t="s">
        <v>179</v>
      </c>
      <c r="B20" s="1150"/>
      <c r="C20" s="1151" t="str">
        <f>IF('Magic &amp; Psionics'!C20="", "", 'Magic &amp; Psionics'!C20)</f>
        <v/>
      </c>
      <c r="D20" s="1278"/>
      <c r="E20" s="1160"/>
      <c r="F20" s="551"/>
      <c r="G20" s="1149" t="s">
        <v>179</v>
      </c>
      <c r="H20" s="1150"/>
      <c r="I20" s="1151" t="str">
        <f>IF('Magic &amp; Psionics'!I20="", "", 'Magic &amp; Psionics'!I20)</f>
        <v/>
      </c>
      <c r="J20" s="1278"/>
      <c r="K20" s="1160"/>
      <c r="L20" s="551"/>
      <c r="M20" s="1149" t="s">
        <v>179</v>
      </c>
      <c r="N20" s="1150"/>
      <c r="O20" s="1151" t="str">
        <f>IF('Magic &amp; Psionics'!O20="", "", 'Magic &amp; Psionics'!O20)</f>
        <v/>
      </c>
      <c r="P20" s="1278"/>
      <c r="Q20" s="1160"/>
    </row>
    <row r="21" spans="1:17" ht="12.75" customHeight="1" x14ac:dyDescent="0.25">
      <c r="A21" s="1149" t="s">
        <v>180</v>
      </c>
      <c r="B21" s="1150"/>
      <c r="C21" s="1151" t="str">
        <f>IF('Magic &amp; Psionics'!C21="", "", 'Magic &amp; Psionics'!C21)</f>
        <v/>
      </c>
      <c r="D21" s="1278"/>
      <c r="E21" s="1160"/>
      <c r="F21" s="551"/>
      <c r="G21" s="1149" t="s">
        <v>180</v>
      </c>
      <c r="H21" s="1150"/>
      <c r="I21" s="1151" t="str">
        <f>IF('Magic &amp; Psionics'!I21="", "", 'Magic &amp; Psionics'!I21)</f>
        <v/>
      </c>
      <c r="J21" s="1278"/>
      <c r="K21" s="1160"/>
      <c r="L21" s="551"/>
      <c r="M21" s="1149" t="s">
        <v>180</v>
      </c>
      <c r="N21" s="1150"/>
      <c r="O21" s="1151" t="str">
        <f>IF('Magic &amp; Psionics'!O21="", "", 'Magic &amp; Psionics'!O21)</f>
        <v/>
      </c>
      <c r="P21" s="1278"/>
      <c r="Q21" s="1160"/>
    </row>
    <row r="22" spans="1:17" ht="12.75" customHeight="1" thickBot="1" x14ac:dyDescent="0.3">
      <c r="A22" s="553" t="s">
        <v>103</v>
      </c>
      <c r="B22" s="1265" t="str">
        <f>IF('Magic &amp; Psionics'!B22="", "", 'Magic &amp; Psionics'!B22)</f>
        <v/>
      </c>
      <c r="C22" s="1265"/>
      <c r="D22" s="1265"/>
      <c r="E22" s="1266"/>
      <c r="F22" s="551"/>
      <c r="G22" s="553" t="s">
        <v>103</v>
      </c>
      <c r="H22" s="1265" t="str">
        <f>IF('Magic &amp; Psionics'!H22="", "", 'Magic &amp; Psionics'!H22)</f>
        <v/>
      </c>
      <c r="I22" s="1265"/>
      <c r="J22" s="1265"/>
      <c r="K22" s="1266"/>
      <c r="L22" s="551"/>
      <c r="M22" s="553" t="s">
        <v>103</v>
      </c>
      <c r="N22" s="1265" t="str">
        <f>IF('Magic &amp; Psionics'!N22="", "", 'Magic &amp; Psionics'!N22)</f>
        <v/>
      </c>
      <c r="O22" s="1265"/>
      <c r="P22" s="1265"/>
      <c r="Q22" s="1266"/>
    </row>
    <row r="23" spans="1:17" ht="3.75" customHeight="1" thickBot="1" x14ac:dyDescent="0.3">
      <c r="A23" s="551"/>
      <c r="B23" s="551"/>
      <c r="C23" s="551"/>
      <c r="D23" s="551"/>
      <c r="E23" s="551"/>
      <c r="F23" s="551"/>
      <c r="G23" s="551"/>
      <c r="H23" s="551"/>
      <c r="I23" s="551"/>
      <c r="J23" s="551"/>
      <c r="K23" s="551"/>
      <c r="L23" s="551"/>
      <c r="M23" s="551"/>
      <c r="N23" s="551"/>
      <c r="O23" s="551"/>
      <c r="P23" s="551"/>
      <c r="Q23" s="551"/>
    </row>
    <row r="24" spans="1:17" ht="12.75" customHeight="1" x14ac:dyDescent="0.25">
      <c r="A24" s="1292" t="s">
        <v>5</v>
      </c>
      <c r="B24" s="1227"/>
      <c r="C24" s="1251" t="str">
        <f>IF('Magic &amp; Psionics'!C24="", "", 'Magic &amp; Psionics'!C24)</f>
        <v/>
      </c>
      <c r="D24" s="1251"/>
      <c r="E24" s="1252"/>
      <c r="F24" s="551"/>
      <c r="G24" s="1292" t="s">
        <v>5</v>
      </c>
      <c r="H24" s="1227"/>
      <c r="I24" s="1251" t="str">
        <f>IF('Magic &amp; Psionics'!I24="", "", 'Magic &amp; Psionics'!I24)</f>
        <v/>
      </c>
      <c r="J24" s="1251"/>
      <c r="K24" s="1252"/>
      <c r="L24" s="551"/>
      <c r="M24" s="1292" t="s">
        <v>5</v>
      </c>
      <c r="N24" s="1227"/>
      <c r="O24" s="1251" t="str">
        <f>IF('Magic &amp; Psionics'!O24="", "", 'Magic &amp; Psionics'!O24)</f>
        <v/>
      </c>
      <c r="P24" s="1251"/>
      <c r="Q24" s="1252"/>
    </row>
    <row r="25" spans="1:17" ht="12.75" customHeight="1" x14ac:dyDescent="0.25">
      <c r="A25" s="1149" t="s">
        <v>176</v>
      </c>
      <c r="B25" s="1150"/>
      <c r="C25" s="1151" t="str">
        <f>IF('Magic &amp; Psionics'!C25="", "", 'Magic &amp; Psionics'!C25)</f>
        <v/>
      </c>
      <c r="D25" s="1278"/>
      <c r="E25" s="1160"/>
      <c r="F25" s="551"/>
      <c r="G25" s="1149" t="s">
        <v>176</v>
      </c>
      <c r="H25" s="1150"/>
      <c r="I25" s="1151" t="str">
        <f>IF('Magic &amp; Psionics'!I25="", "", 'Magic &amp; Psionics'!I25)</f>
        <v/>
      </c>
      <c r="J25" s="1278"/>
      <c r="K25" s="1160"/>
      <c r="L25" s="551"/>
      <c r="M25" s="1149" t="s">
        <v>176</v>
      </c>
      <c r="N25" s="1150"/>
      <c r="O25" s="1151" t="str">
        <f>IF('Magic &amp; Psionics'!O25="", "", 'Magic &amp; Psionics'!O25)</f>
        <v/>
      </c>
      <c r="P25" s="1278"/>
      <c r="Q25" s="1160"/>
    </row>
    <row r="26" spans="1:17" ht="12.75" customHeight="1" x14ac:dyDescent="0.25">
      <c r="A26" s="1149" t="s">
        <v>177</v>
      </c>
      <c r="B26" s="1150"/>
      <c r="C26" s="1151" t="str">
        <f>IF('Magic &amp; Psionics'!C26="", "", 'Magic &amp; Psionics'!C26)</f>
        <v/>
      </c>
      <c r="D26" s="1278"/>
      <c r="E26" s="1160"/>
      <c r="F26" s="551"/>
      <c r="G26" s="1149" t="s">
        <v>177</v>
      </c>
      <c r="H26" s="1150"/>
      <c r="I26" s="1151" t="str">
        <f>IF('Magic &amp; Psionics'!I26="", "", 'Magic &amp; Psionics'!I26)</f>
        <v/>
      </c>
      <c r="J26" s="1278"/>
      <c r="K26" s="1160"/>
      <c r="L26" s="551"/>
      <c r="M26" s="1149" t="s">
        <v>177</v>
      </c>
      <c r="N26" s="1150"/>
      <c r="O26" s="1151" t="str">
        <f>IF('Magic &amp; Psionics'!O26="", "", 'Magic &amp; Psionics'!O26)</f>
        <v/>
      </c>
      <c r="P26" s="1278"/>
      <c r="Q26" s="1160"/>
    </row>
    <row r="27" spans="1:17" ht="12.75" customHeight="1" x14ac:dyDescent="0.25">
      <c r="A27" s="1149" t="s">
        <v>178</v>
      </c>
      <c r="B27" s="1150"/>
      <c r="C27" s="1151" t="str">
        <f>IF('Magic &amp; Psionics'!C27="", "", 'Magic &amp; Psionics'!C27)</f>
        <v/>
      </c>
      <c r="D27" s="1278"/>
      <c r="E27" s="1160"/>
      <c r="F27" s="551"/>
      <c r="G27" s="1149" t="s">
        <v>178</v>
      </c>
      <c r="H27" s="1150"/>
      <c r="I27" s="1151" t="str">
        <f>IF('Magic &amp; Psionics'!I27="", "", 'Magic &amp; Psionics'!I27)</f>
        <v/>
      </c>
      <c r="J27" s="1278"/>
      <c r="K27" s="1160"/>
      <c r="L27" s="551"/>
      <c r="M27" s="1149" t="s">
        <v>178</v>
      </c>
      <c r="N27" s="1150"/>
      <c r="O27" s="1151" t="str">
        <f>IF('Magic &amp; Psionics'!O27="", "", 'Magic &amp; Psionics'!O27)</f>
        <v/>
      </c>
      <c r="P27" s="1278"/>
      <c r="Q27" s="1160"/>
    </row>
    <row r="28" spans="1:17" ht="12.75" customHeight="1" x14ac:dyDescent="0.25">
      <c r="A28" s="1149" t="s">
        <v>179</v>
      </c>
      <c r="B28" s="1150"/>
      <c r="C28" s="1151" t="str">
        <f>IF('Magic &amp; Psionics'!C28="", "", 'Magic &amp; Psionics'!C28)</f>
        <v/>
      </c>
      <c r="D28" s="1278"/>
      <c r="E28" s="1160"/>
      <c r="F28" s="551"/>
      <c r="G28" s="1149" t="s">
        <v>179</v>
      </c>
      <c r="H28" s="1150"/>
      <c r="I28" s="1151" t="str">
        <f>IF('Magic &amp; Psionics'!I28="", "", 'Magic &amp; Psionics'!I28)</f>
        <v/>
      </c>
      <c r="J28" s="1278"/>
      <c r="K28" s="1160"/>
      <c r="L28" s="551"/>
      <c r="M28" s="1149" t="s">
        <v>179</v>
      </c>
      <c r="N28" s="1150"/>
      <c r="O28" s="1151" t="str">
        <f>IF('Magic &amp; Psionics'!O28="", "", 'Magic &amp; Psionics'!O28)</f>
        <v/>
      </c>
      <c r="P28" s="1278"/>
      <c r="Q28" s="1160"/>
    </row>
    <row r="29" spans="1:17" ht="12.75" customHeight="1" x14ac:dyDescent="0.25">
      <c r="A29" s="1149" t="s">
        <v>180</v>
      </c>
      <c r="B29" s="1150"/>
      <c r="C29" s="1151" t="str">
        <f>IF('Magic &amp; Psionics'!C29="", "", 'Magic &amp; Psionics'!C29)</f>
        <v/>
      </c>
      <c r="D29" s="1278"/>
      <c r="E29" s="1160"/>
      <c r="F29" s="551"/>
      <c r="G29" s="1149" t="s">
        <v>180</v>
      </c>
      <c r="H29" s="1150"/>
      <c r="I29" s="1151" t="str">
        <f>IF('Magic &amp; Psionics'!I29="", "", 'Magic &amp; Psionics'!I29)</f>
        <v/>
      </c>
      <c r="J29" s="1278"/>
      <c r="K29" s="1160"/>
      <c r="L29" s="551"/>
      <c r="M29" s="1149" t="s">
        <v>180</v>
      </c>
      <c r="N29" s="1150"/>
      <c r="O29" s="1151" t="str">
        <f>IF('Magic &amp; Psionics'!O29="", "", 'Magic &amp; Psionics'!O29)</f>
        <v/>
      </c>
      <c r="P29" s="1278"/>
      <c r="Q29" s="1160"/>
    </row>
    <row r="30" spans="1:17" ht="12.75" customHeight="1" thickBot="1" x14ac:dyDescent="0.3">
      <c r="A30" s="553" t="s">
        <v>103</v>
      </c>
      <c r="B30" s="1265" t="str">
        <f>IF('Magic &amp; Psionics'!B30="", "", 'Magic &amp; Psionics'!B30)</f>
        <v/>
      </c>
      <c r="C30" s="1265"/>
      <c r="D30" s="1265"/>
      <c r="E30" s="1266"/>
      <c r="F30" s="551"/>
      <c r="G30" s="553" t="s">
        <v>103</v>
      </c>
      <c r="H30" s="1265" t="str">
        <f>IF('Magic &amp; Psionics'!H30="", "", 'Magic &amp; Psionics'!H30)</f>
        <v/>
      </c>
      <c r="I30" s="1265"/>
      <c r="J30" s="1265"/>
      <c r="K30" s="1266"/>
      <c r="L30" s="551"/>
      <c r="M30" s="553" t="s">
        <v>103</v>
      </c>
      <c r="N30" s="1265" t="str">
        <f>IF('Magic &amp; Psionics'!N30="", "", 'Magic &amp; Psionics'!N30)</f>
        <v/>
      </c>
      <c r="O30" s="1265"/>
      <c r="P30" s="1265"/>
      <c r="Q30" s="1266"/>
    </row>
    <row r="31" spans="1:17" ht="3.75" customHeight="1" thickBot="1" x14ac:dyDescent="0.3">
      <c r="A31" s="551"/>
      <c r="B31" s="551"/>
      <c r="C31" s="551"/>
      <c r="D31" s="551"/>
      <c r="E31" s="551"/>
      <c r="F31" s="551"/>
      <c r="G31" s="551"/>
      <c r="H31" s="551"/>
      <c r="I31" s="551"/>
      <c r="J31" s="551"/>
      <c r="K31" s="551"/>
      <c r="L31" s="551"/>
      <c r="M31" s="551"/>
      <c r="N31" s="551"/>
      <c r="O31" s="551"/>
      <c r="P31" s="551"/>
      <c r="Q31" s="551"/>
    </row>
    <row r="32" spans="1:17" ht="12.75" customHeight="1" x14ac:dyDescent="0.25">
      <c r="A32" s="1292" t="s">
        <v>5</v>
      </c>
      <c r="B32" s="1227"/>
      <c r="C32" s="1251" t="str">
        <f>IF('Magic &amp; Psionics'!C32="", "", 'Magic &amp; Psionics'!C32)</f>
        <v/>
      </c>
      <c r="D32" s="1251"/>
      <c r="E32" s="1252"/>
      <c r="F32" s="551"/>
      <c r="G32" s="1292" t="s">
        <v>5</v>
      </c>
      <c r="H32" s="1227"/>
      <c r="I32" s="1251" t="str">
        <f>IF('Magic &amp; Psionics'!I32="", "", 'Magic &amp; Psionics'!I32)</f>
        <v/>
      </c>
      <c r="J32" s="1251"/>
      <c r="K32" s="1252"/>
      <c r="L32" s="551"/>
      <c r="M32" s="1292" t="s">
        <v>5</v>
      </c>
      <c r="N32" s="1227"/>
      <c r="O32" s="1251" t="str">
        <f>IF('Magic &amp; Psionics'!O32="", "", 'Magic &amp; Psionics'!O32)</f>
        <v/>
      </c>
      <c r="P32" s="1251"/>
      <c r="Q32" s="1252"/>
    </row>
    <row r="33" spans="1:17" ht="12.75" customHeight="1" x14ac:dyDescent="0.25">
      <c r="A33" s="1149" t="s">
        <v>176</v>
      </c>
      <c r="B33" s="1150"/>
      <c r="C33" s="1151" t="str">
        <f>IF('Magic &amp; Psionics'!C33="", "", 'Magic &amp; Psionics'!C33)</f>
        <v/>
      </c>
      <c r="D33" s="1278"/>
      <c r="E33" s="1160"/>
      <c r="F33" s="551"/>
      <c r="G33" s="1149" t="s">
        <v>176</v>
      </c>
      <c r="H33" s="1150"/>
      <c r="I33" s="1151" t="str">
        <f>IF('Magic &amp; Psionics'!I33="", "", 'Magic &amp; Psionics'!I33)</f>
        <v/>
      </c>
      <c r="J33" s="1278"/>
      <c r="K33" s="1160"/>
      <c r="L33" s="551"/>
      <c r="M33" s="1149" t="s">
        <v>176</v>
      </c>
      <c r="N33" s="1150"/>
      <c r="O33" s="1151" t="str">
        <f>IF('Magic &amp; Psionics'!O33="", "", 'Magic &amp; Psionics'!O33)</f>
        <v/>
      </c>
      <c r="P33" s="1278"/>
      <c r="Q33" s="1160"/>
    </row>
    <row r="34" spans="1:17" ht="12.75" customHeight="1" x14ac:dyDescent="0.25">
      <c r="A34" s="1149" t="s">
        <v>177</v>
      </c>
      <c r="B34" s="1150"/>
      <c r="C34" s="1151" t="str">
        <f>IF('Magic &amp; Psionics'!C34="", "", 'Magic &amp; Psionics'!C34)</f>
        <v/>
      </c>
      <c r="D34" s="1278"/>
      <c r="E34" s="1160"/>
      <c r="F34" s="551"/>
      <c r="G34" s="1149" t="s">
        <v>177</v>
      </c>
      <c r="H34" s="1150"/>
      <c r="I34" s="1151" t="str">
        <f>IF('Magic &amp; Psionics'!I34="", "", 'Magic &amp; Psionics'!I34)</f>
        <v/>
      </c>
      <c r="J34" s="1278"/>
      <c r="K34" s="1160"/>
      <c r="L34" s="551"/>
      <c r="M34" s="1149" t="s">
        <v>177</v>
      </c>
      <c r="N34" s="1150"/>
      <c r="O34" s="1151" t="str">
        <f>IF('Magic &amp; Psionics'!O34="", "", 'Magic &amp; Psionics'!O34)</f>
        <v/>
      </c>
      <c r="P34" s="1278"/>
      <c r="Q34" s="1160"/>
    </row>
    <row r="35" spans="1:17" ht="12.75" customHeight="1" x14ac:dyDescent="0.25">
      <c r="A35" s="1149" t="s">
        <v>178</v>
      </c>
      <c r="B35" s="1150"/>
      <c r="C35" s="1151" t="str">
        <f>IF('Magic &amp; Psionics'!C35="", "", 'Magic &amp; Psionics'!C35)</f>
        <v/>
      </c>
      <c r="D35" s="1278"/>
      <c r="E35" s="1160"/>
      <c r="F35" s="551"/>
      <c r="G35" s="1149" t="s">
        <v>178</v>
      </c>
      <c r="H35" s="1150"/>
      <c r="I35" s="1151" t="str">
        <f>IF('Magic &amp; Psionics'!I35="", "", 'Magic &amp; Psionics'!I35)</f>
        <v/>
      </c>
      <c r="J35" s="1278"/>
      <c r="K35" s="1160"/>
      <c r="L35" s="551"/>
      <c r="M35" s="1149" t="s">
        <v>178</v>
      </c>
      <c r="N35" s="1150"/>
      <c r="O35" s="1151" t="str">
        <f>IF('Magic &amp; Psionics'!O35="", "", 'Magic &amp; Psionics'!O35)</f>
        <v/>
      </c>
      <c r="P35" s="1278"/>
      <c r="Q35" s="1160"/>
    </row>
    <row r="36" spans="1:17" ht="12.75" customHeight="1" x14ac:dyDescent="0.25">
      <c r="A36" s="1149" t="s">
        <v>179</v>
      </c>
      <c r="B36" s="1150"/>
      <c r="C36" s="1151" t="str">
        <f>IF('Magic &amp; Psionics'!C36="", "", 'Magic &amp; Psionics'!C36)</f>
        <v/>
      </c>
      <c r="D36" s="1278"/>
      <c r="E36" s="1160"/>
      <c r="F36" s="551"/>
      <c r="G36" s="1149" t="s">
        <v>179</v>
      </c>
      <c r="H36" s="1150"/>
      <c r="I36" s="1151" t="str">
        <f>IF('Magic &amp; Psionics'!I36="", "", 'Magic &amp; Psionics'!I36)</f>
        <v/>
      </c>
      <c r="J36" s="1278"/>
      <c r="K36" s="1160"/>
      <c r="L36" s="551"/>
      <c r="M36" s="1149" t="s">
        <v>179</v>
      </c>
      <c r="N36" s="1150"/>
      <c r="O36" s="1151" t="str">
        <f>IF('Magic &amp; Psionics'!O36="", "", 'Magic &amp; Psionics'!O36)</f>
        <v/>
      </c>
      <c r="P36" s="1278"/>
      <c r="Q36" s="1160"/>
    </row>
    <row r="37" spans="1:17" ht="12.75" customHeight="1" x14ac:dyDescent="0.25">
      <c r="A37" s="1149" t="s">
        <v>180</v>
      </c>
      <c r="B37" s="1150"/>
      <c r="C37" s="1151" t="str">
        <f>IF('Magic &amp; Psionics'!C37="", "", 'Magic &amp; Psionics'!C37)</f>
        <v/>
      </c>
      <c r="D37" s="1278"/>
      <c r="E37" s="1160"/>
      <c r="F37" s="551"/>
      <c r="G37" s="1149" t="s">
        <v>180</v>
      </c>
      <c r="H37" s="1150"/>
      <c r="I37" s="1151" t="str">
        <f>IF('Magic &amp; Psionics'!I37="", "", 'Magic &amp; Psionics'!I37)</f>
        <v/>
      </c>
      <c r="J37" s="1278"/>
      <c r="K37" s="1160"/>
      <c r="L37" s="551"/>
      <c r="M37" s="1149" t="s">
        <v>180</v>
      </c>
      <c r="N37" s="1150"/>
      <c r="O37" s="1151" t="str">
        <f>IF('Magic &amp; Psionics'!O37="", "", 'Magic &amp; Psionics'!O37)</f>
        <v/>
      </c>
      <c r="P37" s="1278"/>
      <c r="Q37" s="1160"/>
    </row>
    <row r="38" spans="1:17" ht="12.75" customHeight="1" thickBot="1" x14ac:dyDescent="0.3">
      <c r="A38" s="553" t="s">
        <v>103</v>
      </c>
      <c r="B38" s="1265" t="str">
        <f>IF('Magic &amp; Psionics'!B38="", "", 'Magic &amp; Psionics'!B38)</f>
        <v/>
      </c>
      <c r="C38" s="1265"/>
      <c r="D38" s="1265"/>
      <c r="E38" s="1266"/>
      <c r="F38" s="551"/>
      <c r="G38" s="553" t="s">
        <v>103</v>
      </c>
      <c r="H38" s="1265" t="str">
        <f>IF('Magic &amp; Psionics'!H38="", "", 'Magic &amp; Psionics'!H38)</f>
        <v/>
      </c>
      <c r="I38" s="1265"/>
      <c r="J38" s="1265"/>
      <c r="K38" s="1266"/>
      <c r="L38" s="551"/>
      <c r="M38" s="553" t="s">
        <v>103</v>
      </c>
      <c r="N38" s="1265" t="str">
        <f>IF('Magic &amp; Psionics'!N38="", "", 'Magic &amp; Psionics'!N38)</f>
        <v/>
      </c>
      <c r="O38" s="1265"/>
      <c r="P38" s="1265"/>
      <c r="Q38" s="1266"/>
    </row>
    <row r="39" spans="1:17" ht="3.75" customHeight="1" thickBot="1" x14ac:dyDescent="0.3">
      <c r="A39" s="551"/>
      <c r="B39" s="551"/>
      <c r="C39" s="551"/>
      <c r="D39" s="551"/>
      <c r="E39" s="551"/>
      <c r="F39" s="551"/>
      <c r="G39" s="551"/>
      <c r="H39" s="551"/>
      <c r="I39" s="551"/>
      <c r="J39" s="551"/>
      <c r="K39" s="551"/>
      <c r="L39" s="551"/>
      <c r="M39" s="551"/>
      <c r="N39" s="551"/>
      <c r="O39" s="551"/>
      <c r="P39" s="551"/>
      <c r="Q39" s="551"/>
    </row>
    <row r="40" spans="1:17" ht="12.75" customHeight="1" x14ac:dyDescent="0.25">
      <c r="A40" s="1292" t="s">
        <v>5</v>
      </c>
      <c r="B40" s="1227"/>
      <c r="C40" s="1251" t="str">
        <f>IF('Magic &amp; Psionics'!C40="", "", 'Magic &amp; Psionics'!C40)</f>
        <v/>
      </c>
      <c r="D40" s="1251"/>
      <c r="E40" s="1252"/>
      <c r="F40" s="551"/>
      <c r="G40" s="1292" t="s">
        <v>5</v>
      </c>
      <c r="H40" s="1227"/>
      <c r="I40" s="1251" t="str">
        <f>IF('Magic &amp; Psionics'!I40="", "", 'Magic &amp; Psionics'!I40)</f>
        <v/>
      </c>
      <c r="J40" s="1251"/>
      <c r="K40" s="1252"/>
      <c r="L40" s="551"/>
      <c r="M40" s="1292" t="s">
        <v>5</v>
      </c>
      <c r="N40" s="1227"/>
      <c r="O40" s="1251" t="str">
        <f>IF('Magic &amp; Psionics'!O40="", "", 'Magic &amp; Psionics'!O40)</f>
        <v/>
      </c>
      <c r="P40" s="1251"/>
      <c r="Q40" s="1252"/>
    </row>
    <row r="41" spans="1:17" ht="12.75" customHeight="1" x14ac:dyDescent="0.25">
      <c r="A41" s="1149" t="s">
        <v>176</v>
      </c>
      <c r="B41" s="1150"/>
      <c r="C41" s="1151" t="str">
        <f>IF('Magic &amp; Psionics'!C41="", "", 'Magic &amp; Psionics'!C41)</f>
        <v/>
      </c>
      <c r="D41" s="1278"/>
      <c r="E41" s="1160"/>
      <c r="F41" s="551"/>
      <c r="G41" s="1149" t="s">
        <v>176</v>
      </c>
      <c r="H41" s="1150"/>
      <c r="I41" s="1151" t="str">
        <f>IF('Magic &amp; Psionics'!I41="", "", 'Magic &amp; Psionics'!I41)</f>
        <v/>
      </c>
      <c r="J41" s="1278"/>
      <c r="K41" s="1160"/>
      <c r="L41" s="551"/>
      <c r="M41" s="1149" t="s">
        <v>176</v>
      </c>
      <c r="N41" s="1150"/>
      <c r="O41" s="1151" t="str">
        <f>IF('Magic &amp; Psionics'!O41="", "", 'Magic &amp; Psionics'!O41)</f>
        <v/>
      </c>
      <c r="P41" s="1278"/>
      <c r="Q41" s="1160"/>
    </row>
    <row r="42" spans="1:17" ht="12.75" customHeight="1" x14ac:dyDescent="0.25">
      <c r="A42" s="1149" t="s">
        <v>177</v>
      </c>
      <c r="B42" s="1150"/>
      <c r="C42" s="1151" t="str">
        <f>IF('Magic &amp; Psionics'!C42="", "", 'Magic &amp; Psionics'!C42)</f>
        <v/>
      </c>
      <c r="D42" s="1278"/>
      <c r="E42" s="1160"/>
      <c r="F42" s="551"/>
      <c r="G42" s="1149" t="s">
        <v>177</v>
      </c>
      <c r="H42" s="1150"/>
      <c r="I42" s="1151" t="str">
        <f>IF('Magic &amp; Psionics'!I42="", "", 'Magic &amp; Psionics'!I42)</f>
        <v/>
      </c>
      <c r="J42" s="1278"/>
      <c r="K42" s="1160"/>
      <c r="L42" s="551"/>
      <c r="M42" s="1149" t="s">
        <v>177</v>
      </c>
      <c r="N42" s="1150"/>
      <c r="O42" s="1151" t="str">
        <f>IF('Magic &amp; Psionics'!O42="", "", 'Magic &amp; Psionics'!O42)</f>
        <v/>
      </c>
      <c r="P42" s="1278"/>
      <c r="Q42" s="1160"/>
    </row>
    <row r="43" spans="1:17" ht="12.75" customHeight="1" x14ac:dyDescent="0.25">
      <c r="A43" s="1149" t="s">
        <v>178</v>
      </c>
      <c r="B43" s="1150"/>
      <c r="C43" s="1151" t="str">
        <f>IF('Magic &amp; Psionics'!C43="", "", 'Magic &amp; Psionics'!C43)</f>
        <v/>
      </c>
      <c r="D43" s="1278"/>
      <c r="E43" s="1160"/>
      <c r="F43" s="551"/>
      <c r="G43" s="1149" t="s">
        <v>178</v>
      </c>
      <c r="H43" s="1150"/>
      <c r="I43" s="1151" t="str">
        <f>IF('Magic &amp; Psionics'!I43="", "", 'Magic &amp; Psionics'!I43)</f>
        <v/>
      </c>
      <c r="J43" s="1278"/>
      <c r="K43" s="1160"/>
      <c r="L43" s="551"/>
      <c r="M43" s="1149" t="s">
        <v>178</v>
      </c>
      <c r="N43" s="1150"/>
      <c r="O43" s="1151" t="str">
        <f>IF('Magic &amp; Psionics'!O43="", "", 'Magic &amp; Psionics'!O43)</f>
        <v/>
      </c>
      <c r="P43" s="1278"/>
      <c r="Q43" s="1160"/>
    </row>
    <row r="44" spans="1:17" ht="12.75" customHeight="1" x14ac:dyDescent="0.25">
      <c r="A44" s="1149" t="s">
        <v>179</v>
      </c>
      <c r="B44" s="1150"/>
      <c r="C44" s="1151" t="str">
        <f>IF('Magic &amp; Psionics'!C44="", "", 'Magic &amp; Psionics'!C44)</f>
        <v/>
      </c>
      <c r="D44" s="1278"/>
      <c r="E44" s="1160"/>
      <c r="F44" s="551"/>
      <c r="G44" s="1149" t="s">
        <v>179</v>
      </c>
      <c r="H44" s="1150"/>
      <c r="I44" s="1151" t="str">
        <f>IF('Magic &amp; Psionics'!I44="", "", 'Magic &amp; Psionics'!I44)</f>
        <v/>
      </c>
      <c r="J44" s="1278"/>
      <c r="K44" s="1160"/>
      <c r="L44" s="551"/>
      <c r="M44" s="1149" t="s">
        <v>179</v>
      </c>
      <c r="N44" s="1150"/>
      <c r="O44" s="1151" t="str">
        <f>IF('Magic &amp; Psionics'!O44="", "", 'Magic &amp; Psionics'!O44)</f>
        <v/>
      </c>
      <c r="P44" s="1278"/>
      <c r="Q44" s="1160"/>
    </row>
    <row r="45" spans="1:17" ht="12.75" customHeight="1" x14ac:dyDescent="0.25">
      <c r="A45" s="1149" t="s">
        <v>180</v>
      </c>
      <c r="B45" s="1150"/>
      <c r="C45" s="1151" t="str">
        <f>IF('Magic &amp; Psionics'!C45="", "", 'Magic &amp; Psionics'!C45)</f>
        <v/>
      </c>
      <c r="D45" s="1278"/>
      <c r="E45" s="1160"/>
      <c r="F45" s="551"/>
      <c r="G45" s="1149" t="s">
        <v>180</v>
      </c>
      <c r="H45" s="1150"/>
      <c r="I45" s="1151" t="str">
        <f>IF('Magic &amp; Psionics'!I45="", "", 'Magic &amp; Psionics'!I45)</f>
        <v/>
      </c>
      <c r="J45" s="1278"/>
      <c r="K45" s="1160"/>
      <c r="L45" s="551"/>
      <c r="M45" s="1149" t="s">
        <v>180</v>
      </c>
      <c r="N45" s="1150"/>
      <c r="O45" s="1151" t="str">
        <f>IF('Magic &amp; Psionics'!O45="", "", 'Magic &amp; Psionics'!O45)</f>
        <v/>
      </c>
      <c r="P45" s="1278"/>
      <c r="Q45" s="1160"/>
    </row>
    <row r="46" spans="1:17" ht="12.75" customHeight="1" thickBot="1" x14ac:dyDescent="0.3">
      <c r="A46" s="553" t="s">
        <v>103</v>
      </c>
      <c r="B46" s="1265" t="str">
        <f>IF('Magic &amp; Psionics'!B46="", "", 'Magic &amp; Psionics'!B46)</f>
        <v/>
      </c>
      <c r="C46" s="1265"/>
      <c r="D46" s="1265"/>
      <c r="E46" s="1266"/>
      <c r="F46" s="551"/>
      <c r="G46" s="553" t="s">
        <v>103</v>
      </c>
      <c r="H46" s="1265" t="str">
        <f>IF('Magic &amp; Psionics'!H46="", "", 'Magic &amp; Psionics'!H46)</f>
        <v/>
      </c>
      <c r="I46" s="1265"/>
      <c r="J46" s="1265"/>
      <c r="K46" s="1266"/>
      <c r="L46" s="551"/>
      <c r="M46" s="553" t="s">
        <v>103</v>
      </c>
      <c r="N46" s="1265" t="str">
        <f>IF('Magic &amp; Psionics'!N46="", "", 'Magic &amp; Psionics'!N46)</f>
        <v/>
      </c>
      <c r="O46" s="1265"/>
      <c r="P46" s="1265"/>
      <c r="Q46" s="1266"/>
    </row>
    <row r="47" spans="1:17" ht="3.75" customHeight="1" thickBot="1" x14ac:dyDescent="0.3">
      <c r="A47" s="551"/>
      <c r="B47" s="551"/>
      <c r="C47" s="551"/>
      <c r="D47" s="551"/>
      <c r="E47" s="551"/>
      <c r="F47" s="551"/>
      <c r="G47" s="551"/>
      <c r="H47" s="551"/>
      <c r="I47" s="551"/>
      <c r="J47" s="551"/>
      <c r="K47" s="551"/>
      <c r="L47" s="551"/>
      <c r="M47" s="551"/>
      <c r="N47" s="551"/>
      <c r="O47" s="551"/>
      <c r="P47" s="551"/>
      <c r="Q47" s="551"/>
    </row>
    <row r="48" spans="1:17" ht="12" customHeight="1" x14ac:dyDescent="0.25">
      <c r="A48" s="1292" t="s">
        <v>5</v>
      </c>
      <c r="B48" s="1227"/>
      <c r="C48" s="1251" t="str">
        <f>IF('Magic &amp; Psionics'!C48="", "", 'Magic &amp; Psionics'!C48)</f>
        <v/>
      </c>
      <c r="D48" s="1251"/>
      <c r="E48" s="1252"/>
      <c r="F48" s="551"/>
      <c r="G48" s="1292" t="s">
        <v>5</v>
      </c>
      <c r="H48" s="1227"/>
      <c r="I48" s="1251" t="str">
        <f>IF('Magic &amp; Psionics'!I48="", "", 'Magic &amp; Psionics'!I48)</f>
        <v/>
      </c>
      <c r="J48" s="1251"/>
      <c r="K48" s="1252"/>
      <c r="L48" s="551"/>
      <c r="M48" s="1292" t="s">
        <v>5</v>
      </c>
      <c r="N48" s="1227"/>
      <c r="O48" s="1251" t="str">
        <f>IF('Magic &amp; Psionics'!O48="", "", 'Magic &amp; Psionics'!O48)</f>
        <v/>
      </c>
      <c r="P48" s="1251"/>
      <c r="Q48" s="1252"/>
    </row>
    <row r="49" spans="1:17" ht="12" customHeight="1" x14ac:dyDescent="0.25">
      <c r="A49" s="1149" t="s">
        <v>176</v>
      </c>
      <c r="B49" s="1150"/>
      <c r="C49" s="1151" t="str">
        <f>IF('Magic &amp; Psionics'!C49="", "", 'Magic &amp; Psionics'!C49)</f>
        <v/>
      </c>
      <c r="D49" s="1278"/>
      <c r="E49" s="1160"/>
      <c r="F49" s="551"/>
      <c r="G49" s="1149" t="s">
        <v>176</v>
      </c>
      <c r="H49" s="1150"/>
      <c r="I49" s="1151" t="str">
        <f>IF('Magic &amp; Psionics'!I49="", "", 'Magic &amp; Psionics'!I49)</f>
        <v/>
      </c>
      <c r="J49" s="1278"/>
      <c r="K49" s="1160"/>
      <c r="L49" s="551"/>
      <c r="M49" s="1149" t="s">
        <v>176</v>
      </c>
      <c r="N49" s="1150"/>
      <c r="O49" s="1151" t="str">
        <f>IF('Magic &amp; Psionics'!O49="", "", 'Magic &amp; Psionics'!O49)</f>
        <v/>
      </c>
      <c r="P49" s="1278"/>
      <c r="Q49" s="1160"/>
    </row>
    <row r="50" spans="1:17" ht="12" customHeight="1" x14ac:dyDescent="0.25">
      <c r="A50" s="1149" t="s">
        <v>177</v>
      </c>
      <c r="B50" s="1150"/>
      <c r="C50" s="1151" t="str">
        <f>IF('Magic &amp; Psionics'!C50="", "", 'Magic &amp; Psionics'!C50)</f>
        <v/>
      </c>
      <c r="D50" s="1278"/>
      <c r="E50" s="1160"/>
      <c r="F50" s="551"/>
      <c r="G50" s="1149" t="s">
        <v>177</v>
      </c>
      <c r="H50" s="1150"/>
      <c r="I50" s="1151" t="str">
        <f>IF('Magic &amp; Psionics'!I50="", "", 'Magic &amp; Psionics'!I50)</f>
        <v/>
      </c>
      <c r="J50" s="1278"/>
      <c r="K50" s="1160"/>
      <c r="L50" s="551"/>
      <c r="M50" s="1149" t="s">
        <v>177</v>
      </c>
      <c r="N50" s="1150"/>
      <c r="O50" s="1151" t="str">
        <f>IF('Magic &amp; Psionics'!O50="", "", 'Magic &amp; Psionics'!O50)</f>
        <v/>
      </c>
      <c r="P50" s="1278"/>
      <c r="Q50" s="1160"/>
    </row>
    <row r="51" spans="1:17" ht="12" customHeight="1" x14ac:dyDescent="0.25">
      <c r="A51" s="1149" t="s">
        <v>178</v>
      </c>
      <c r="B51" s="1150"/>
      <c r="C51" s="1151" t="str">
        <f>IF('Magic &amp; Psionics'!C51="", "", 'Magic &amp; Psionics'!C51)</f>
        <v/>
      </c>
      <c r="D51" s="1278"/>
      <c r="E51" s="1160"/>
      <c r="F51" s="551"/>
      <c r="G51" s="1149" t="s">
        <v>178</v>
      </c>
      <c r="H51" s="1150"/>
      <c r="I51" s="1151" t="str">
        <f>IF('Magic &amp; Psionics'!I51="", "", 'Magic &amp; Psionics'!I51)</f>
        <v/>
      </c>
      <c r="J51" s="1278"/>
      <c r="K51" s="1160"/>
      <c r="L51" s="551"/>
      <c r="M51" s="1149" t="s">
        <v>178</v>
      </c>
      <c r="N51" s="1150"/>
      <c r="O51" s="1151" t="str">
        <f>IF('Magic &amp; Psionics'!O51="", "", 'Magic &amp; Psionics'!O51)</f>
        <v/>
      </c>
      <c r="P51" s="1278"/>
      <c r="Q51" s="1160"/>
    </row>
    <row r="52" spans="1:17" ht="12" customHeight="1" x14ac:dyDescent="0.25">
      <c r="A52" s="1149" t="s">
        <v>179</v>
      </c>
      <c r="B52" s="1150"/>
      <c r="C52" s="1151" t="str">
        <f>IF('Magic &amp; Psionics'!C52="", "", 'Magic &amp; Psionics'!C52)</f>
        <v/>
      </c>
      <c r="D52" s="1278"/>
      <c r="E52" s="1160"/>
      <c r="F52" s="551"/>
      <c r="G52" s="1149" t="s">
        <v>179</v>
      </c>
      <c r="H52" s="1150"/>
      <c r="I52" s="1151" t="str">
        <f>IF('Magic &amp; Psionics'!I52="", "", 'Magic &amp; Psionics'!I52)</f>
        <v/>
      </c>
      <c r="J52" s="1278"/>
      <c r="K52" s="1160"/>
      <c r="L52" s="551"/>
      <c r="M52" s="1149" t="s">
        <v>179</v>
      </c>
      <c r="N52" s="1150"/>
      <c r="O52" s="1151" t="str">
        <f>IF('Magic &amp; Psionics'!O52="", "", 'Magic &amp; Psionics'!O52)</f>
        <v/>
      </c>
      <c r="P52" s="1278"/>
      <c r="Q52" s="1160"/>
    </row>
    <row r="53" spans="1:17" ht="12" customHeight="1" x14ac:dyDescent="0.25">
      <c r="A53" s="1149" t="s">
        <v>180</v>
      </c>
      <c r="B53" s="1150"/>
      <c r="C53" s="1151" t="str">
        <f>IF('Magic &amp; Psionics'!C53="", "", 'Magic &amp; Psionics'!C53)</f>
        <v/>
      </c>
      <c r="D53" s="1278"/>
      <c r="E53" s="1160"/>
      <c r="F53" s="551"/>
      <c r="G53" s="1149" t="s">
        <v>180</v>
      </c>
      <c r="H53" s="1150"/>
      <c r="I53" s="1151" t="str">
        <f>IF('Magic &amp; Psionics'!I53="", "", 'Magic &amp; Psionics'!I53)</f>
        <v/>
      </c>
      <c r="J53" s="1278"/>
      <c r="K53" s="1160"/>
      <c r="L53" s="551"/>
      <c r="M53" s="1149" t="s">
        <v>180</v>
      </c>
      <c r="N53" s="1150"/>
      <c r="O53" s="1151" t="str">
        <f>IF('Magic &amp; Psionics'!O53="", "", 'Magic &amp; Psionics'!O53)</f>
        <v/>
      </c>
      <c r="P53" s="1278"/>
      <c r="Q53" s="1160"/>
    </row>
    <row r="54" spans="1:17" ht="12" customHeight="1" thickBot="1" x14ac:dyDescent="0.3">
      <c r="A54" s="553" t="s">
        <v>103</v>
      </c>
      <c r="B54" s="1265" t="str">
        <f>IF('Magic &amp; Psionics'!B54="", "", 'Magic &amp; Psionics'!B54)</f>
        <v/>
      </c>
      <c r="C54" s="1265"/>
      <c r="D54" s="1265"/>
      <c r="E54" s="1266"/>
      <c r="F54" s="551"/>
      <c r="G54" s="553" t="s">
        <v>103</v>
      </c>
      <c r="H54" s="1265" t="str">
        <f>IF('Magic &amp; Psionics'!H54="", "", 'Magic &amp; Psionics'!H54)</f>
        <v/>
      </c>
      <c r="I54" s="1265"/>
      <c r="J54" s="1265"/>
      <c r="K54" s="1266"/>
      <c r="L54" s="551"/>
      <c r="M54" s="553" t="s">
        <v>103</v>
      </c>
      <c r="N54" s="1265" t="str">
        <f>IF('Magic &amp; Psionics'!N54="", "", 'Magic &amp; Psionics'!N54)</f>
        <v/>
      </c>
      <c r="O54" s="1265"/>
      <c r="P54" s="1265"/>
      <c r="Q54" s="1266"/>
    </row>
    <row r="55" spans="1:17" ht="3.75" customHeight="1" thickBot="1" x14ac:dyDescent="0.3">
      <c r="A55" s="551"/>
      <c r="B55" s="551"/>
      <c r="C55" s="551"/>
      <c r="D55" s="551"/>
      <c r="E55" s="551"/>
      <c r="F55" s="551"/>
      <c r="G55" s="551"/>
      <c r="H55" s="551"/>
      <c r="I55" s="551"/>
      <c r="J55" s="551"/>
      <c r="K55" s="551"/>
      <c r="L55" s="551"/>
      <c r="M55" s="551"/>
      <c r="N55" s="551"/>
      <c r="O55" s="551"/>
      <c r="P55" s="551"/>
      <c r="Q55" s="551"/>
    </row>
    <row r="56" spans="1:17" ht="12" customHeight="1" x14ac:dyDescent="0.25">
      <c r="A56" s="1292" t="s">
        <v>5</v>
      </c>
      <c r="B56" s="1227"/>
      <c r="C56" s="1251" t="str">
        <f>IF('Magic &amp; Psionics'!C56="", "", 'Magic &amp; Psionics'!C56)</f>
        <v/>
      </c>
      <c r="D56" s="1251"/>
      <c r="E56" s="1252"/>
      <c r="F56" s="551"/>
      <c r="G56" s="1292" t="s">
        <v>5</v>
      </c>
      <c r="H56" s="1227"/>
      <c r="I56" s="1251" t="str">
        <f>IF('Magic &amp; Psionics'!I56="", "", 'Magic &amp; Psionics'!I56)</f>
        <v/>
      </c>
      <c r="J56" s="1251"/>
      <c r="K56" s="1252"/>
      <c r="L56" s="551"/>
      <c r="M56" s="1292" t="s">
        <v>5</v>
      </c>
      <c r="N56" s="1227"/>
      <c r="O56" s="1251" t="str">
        <f>IF('Magic &amp; Psionics'!O56="", "", 'Magic &amp; Psionics'!O56)</f>
        <v/>
      </c>
      <c r="P56" s="1251"/>
      <c r="Q56" s="1252"/>
    </row>
    <row r="57" spans="1:17" ht="12" customHeight="1" x14ac:dyDescent="0.25">
      <c r="A57" s="1149" t="s">
        <v>176</v>
      </c>
      <c r="B57" s="1150"/>
      <c r="C57" s="1151" t="str">
        <f>IF('Magic &amp; Psionics'!C57="", "", 'Magic &amp; Psionics'!C57)</f>
        <v/>
      </c>
      <c r="D57" s="1278"/>
      <c r="E57" s="1160"/>
      <c r="F57" s="551"/>
      <c r="G57" s="1149" t="s">
        <v>176</v>
      </c>
      <c r="H57" s="1150"/>
      <c r="I57" s="1151" t="str">
        <f>IF('Magic &amp; Psionics'!I57="", "", 'Magic &amp; Psionics'!I57)</f>
        <v/>
      </c>
      <c r="J57" s="1278"/>
      <c r="K57" s="1160"/>
      <c r="L57" s="551"/>
      <c r="M57" s="1149" t="s">
        <v>176</v>
      </c>
      <c r="N57" s="1150"/>
      <c r="O57" s="1151" t="str">
        <f>IF('Magic &amp; Psionics'!O57="", "", 'Magic &amp; Psionics'!O57)</f>
        <v/>
      </c>
      <c r="P57" s="1278"/>
      <c r="Q57" s="1160"/>
    </row>
    <row r="58" spans="1:17" ht="12" customHeight="1" x14ac:dyDescent="0.25">
      <c r="A58" s="1149" t="s">
        <v>177</v>
      </c>
      <c r="B58" s="1150"/>
      <c r="C58" s="1151" t="str">
        <f>IF('Magic &amp; Psionics'!C58="", "", 'Magic &amp; Psionics'!C58)</f>
        <v/>
      </c>
      <c r="D58" s="1278"/>
      <c r="E58" s="1160"/>
      <c r="F58" s="551"/>
      <c r="G58" s="1149" t="s">
        <v>177</v>
      </c>
      <c r="H58" s="1150"/>
      <c r="I58" s="1151" t="str">
        <f>IF('Magic &amp; Psionics'!I58="", "", 'Magic &amp; Psionics'!I58)</f>
        <v/>
      </c>
      <c r="J58" s="1278"/>
      <c r="K58" s="1160"/>
      <c r="L58" s="551"/>
      <c r="M58" s="1149" t="s">
        <v>177</v>
      </c>
      <c r="N58" s="1150"/>
      <c r="O58" s="1151" t="str">
        <f>IF('Magic &amp; Psionics'!O58="", "", 'Magic &amp; Psionics'!O58)</f>
        <v/>
      </c>
      <c r="P58" s="1278"/>
      <c r="Q58" s="1160"/>
    </row>
    <row r="59" spans="1:17" ht="12" customHeight="1" x14ac:dyDescent="0.25">
      <c r="A59" s="1149" t="s">
        <v>178</v>
      </c>
      <c r="B59" s="1150"/>
      <c r="C59" s="1151" t="str">
        <f>IF('Magic &amp; Psionics'!C59="", "", 'Magic &amp; Psionics'!C59)</f>
        <v/>
      </c>
      <c r="D59" s="1278"/>
      <c r="E59" s="1160"/>
      <c r="F59" s="551"/>
      <c r="G59" s="1149" t="s">
        <v>178</v>
      </c>
      <c r="H59" s="1150"/>
      <c r="I59" s="1151" t="str">
        <f>IF('Magic &amp; Psionics'!I59="", "", 'Magic &amp; Psionics'!I59)</f>
        <v/>
      </c>
      <c r="J59" s="1278"/>
      <c r="K59" s="1160"/>
      <c r="L59" s="551"/>
      <c r="M59" s="1149" t="s">
        <v>178</v>
      </c>
      <c r="N59" s="1150"/>
      <c r="O59" s="1151" t="str">
        <f>IF('Magic &amp; Psionics'!O59="", "", 'Magic &amp; Psionics'!O59)</f>
        <v/>
      </c>
      <c r="P59" s="1278"/>
      <c r="Q59" s="1160"/>
    </row>
    <row r="60" spans="1:17" ht="12" customHeight="1" x14ac:dyDescent="0.25">
      <c r="A60" s="1149" t="s">
        <v>179</v>
      </c>
      <c r="B60" s="1150"/>
      <c r="C60" s="1151" t="str">
        <f>IF('Magic &amp; Psionics'!C60="", "", 'Magic &amp; Psionics'!C60)</f>
        <v/>
      </c>
      <c r="D60" s="1278"/>
      <c r="E60" s="1160"/>
      <c r="F60" s="551"/>
      <c r="G60" s="1149" t="s">
        <v>179</v>
      </c>
      <c r="H60" s="1150"/>
      <c r="I60" s="1151" t="str">
        <f>IF('Magic &amp; Psionics'!I60="", "", 'Magic &amp; Psionics'!I60)</f>
        <v/>
      </c>
      <c r="J60" s="1278"/>
      <c r="K60" s="1160"/>
      <c r="L60" s="551"/>
      <c r="M60" s="1149" t="s">
        <v>179</v>
      </c>
      <c r="N60" s="1150"/>
      <c r="O60" s="1151" t="str">
        <f>IF('Magic &amp; Psionics'!O60="", "", 'Magic &amp; Psionics'!O60)</f>
        <v/>
      </c>
      <c r="P60" s="1278"/>
      <c r="Q60" s="1160"/>
    </row>
    <row r="61" spans="1:17" ht="12" customHeight="1" x14ac:dyDescent="0.25">
      <c r="A61" s="1149" t="s">
        <v>180</v>
      </c>
      <c r="B61" s="1150"/>
      <c r="C61" s="1151" t="str">
        <f>IF('Magic &amp; Psionics'!C61="", "", 'Magic &amp; Psionics'!C61)</f>
        <v/>
      </c>
      <c r="D61" s="1278"/>
      <c r="E61" s="1160"/>
      <c r="F61" s="551"/>
      <c r="G61" s="1149" t="s">
        <v>180</v>
      </c>
      <c r="H61" s="1150"/>
      <c r="I61" s="1151" t="str">
        <f>IF('Magic &amp; Psionics'!I61="", "", 'Magic &amp; Psionics'!I61)</f>
        <v/>
      </c>
      <c r="J61" s="1278"/>
      <c r="K61" s="1160"/>
      <c r="L61" s="551"/>
      <c r="M61" s="1149" t="s">
        <v>180</v>
      </c>
      <c r="N61" s="1150"/>
      <c r="O61" s="1151" t="str">
        <f>IF('Magic &amp; Psionics'!O61="", "", 'Magic &amp; Psionics'!O61)</f>
        <v/>
      </c>
      <c r="P61" s="1278"/>
      <c r="Q61" s="1160"/>
    </row>
    <row r="62" spans="1:17" ht="12" customHeight="1" thickBot="1" x14ac:dyDescent="0.3">
      <c r="A62" s="553" t="s">
        <v>103</v>
      </c>
      <c r="B62" s="1265" t="str">
        <f>IF('Magic &amp; Psionics'!B62="", "", 'Magic &amp; Psionics'!B62)</f>
        <v/>
      </c>
      <c r="C62" s="1265"/>
      <c r="D62" s="1265"/>
      <c r="E62" s="1266"/>
      <c r="F62" s="551"/>
      <c r="G62" s="553" t="s">
        <v>103</v>
      </c>
      <c r="H62" s="1265" t="str">
        <f>IF('Magic &amp; Psionics'!H62="", "", 'Magic &amp; Psionics'!H62)</f>
        <v/>
      </c>
      <c r="I62" s="1265"/>
      <c r="J62" s="1265"/>
      <c r="K62" s="1266"/>
      <c r="L62" s="551"/>
      <c r="M62" s="553" t="s">
        <v>103</v>
      </c>
      <c r="N62" s="1265" t="str">
        <f>IF('Magic &amp; Psionics'!N62="", "", 'Magic &amp; Psionics'!N62)</f>
        <v/>
      </c>
      <c r="O62" s="1265"/>
      <c r="P62" s="1265"/>
      <c r="Q62" s="1266"/>
    </row>
    <row r="63" spans="1:17" ht="3.75" customHeight="1" thickBot="1" x14ac:dyDescent="0.3">
      <c r="A63" s="545"/>
      <c r="B63" s="552"/>
      <c r="C63" s="552"/>
      <c r="D63" s="552"/>
      <c r="E63" s="552"/>
      <c r="F63" s="552"/>
      <c r="G63" s="545"/>
      <c r="H63" s="552"/>
      <c r="I63" s="552"/>
      <c r="J63" s="552"/>
      <c r="K63" s="552"/>
      <c r="L63" s="552"/>
      <c r="M63" s="545"/>
      <c r="N63" s="552"/>
      <c r="O63" s="552"/>
      <c r="P63" s="552"/>
      <c r="Q63" s="552"/>
    </row>
    <row r="64" spans="1:17" ht="18.75" customHeight="1" thickBot="1" x14ac:dyDescent="0.35">
      <c r="A64" s="1267" t="s">
        <v>1</v>
      </c>
      <c r="B64" s="1268"/>
      <c r="C64" s="1268"/>
      <c r="D64" s="1268"/>
      <c r="E64" s="1268"/>
      <c r="F64" s="1268"/>
      <c r="G64" s="1268"/>
      <c r="H64" s="1268"/>
      <c r="I64" s="1268"/>
      <c r="J64" s="1268"/>
      <c r="K64" s="1268"/>
      <c r="L64" s="1268"/>
      <c r="M64" s="1268"/>
      <c r="N64" s="1268"/>
      <c r="O64" s="1268"/>
      <c r="P64" s="1268"/>
      <c r="Q64" s="1269"/>
    </row>
    <row r="65" spans="1:17" ht="3.75" customHeight="1" thickBot="1" x14ac:dyDescent="0.3">
      <c r="A65" s="545"/>
      <c r="B65" s="552"/>
      <c r="C65" s="552"/>
      <c r="D65" s="552"/>
      <c r="E65" s="552"/>
      <c r="F65" s="552"/>
      <c r="G65" s="545"/>
      <c r="H65" s="552"/>
      <c r="I65" s="552"/>
      <c r="J65" s="552"/>
      <c r="K65" s="552"/>
      <c r="L65" s="552"/>
      <c r="M65" s="545"/>
      <c r="N65" s="552"/>
      <c r="O65" s="552"/>
      <c r="P65" s="552"/>
      <c r="Q65" s="552"/>
    </row>
    <row r="66" spans="1:17" ht="15.75" thickBot="1" x14ac:dyDescent="0.3">
      <c r="A66" s="1139" t="s">
        <v>175</v>
      </c>
      <c r="B66" s="1298"/>
      <c r="C66" s="1298"/>
      <c r="D66" s="1298"/>
      <c r="E66" s="1298"/>
      <c r="F66" s="1298"/>
      <c r="G66" s="1298"/>
      <c r="H66" s="1298"/>
      <c r="I66" s="1298"/>
      <c r="J66" s="1298"/>
      <c r="K66" s="1298"/>
      <c r="L66" s="1298"/>
      <c r="M66" s="1298"/>
      <c r="N66" s="1298"/>
      <c r="O66" s="1298"/>
      <c r="P66" s="1298"/>
      <c r="Q66" s="1140"/>
    </row>
    <row r="67" spans="1:17" ht="3.75" customHeight="1" thickBot="1" x14ac:dyDescent="0.3">
      <c r="A67" s="545"/>
      <c r="B67" s="552"/>
      <c r="C67" s="552"/>
      <c r="D67" s="552"/>
      <c r="E67" s="552"/>
      <c r="F67" s="552"/>
      <c r="G67" s="545"/>
      <c r="H67" s="552"/>
      <c r="I67" s="552"/>
      <c r="J67" s="552"/>
      <c r="K67" s="552"/>
      <c r="L67" s="552"/>
      <c r="M67" s="545"/>
      <c r="N67" s="552"/>
      <c r="O67" s="552"/>
      <c r="P67" s="552"/>
      <c r="Q67" s="552"/>
    </row>
    <row r="68" spans="1:17" ht="12.75" customHeight="1" x14ac:dyDescent="0.25">
      <c r="A68" s="1292" t="s">
        <v>5</v>
      </c>
      <c r="B68" s="1227"/>
      <c r="C68" s="1251" t="str">
        <f>IF('Magic &amp; Psionics'!C68="", "", 'Magic &amp; Psionics'!C68)</f>
        <v/>
      </c>
      <c r="D68" s="1251"/>
      <c r="E68" s="1252"/>
      <c r="F68" s="551"/>
      <c r="G68" s="1292" t="s">
        <v>5</v>
      </c>
      <c r="H68" s="1227"/>
      <c r="I68" s="1251" t="str">
        <f>IF('Magic &amp; Psionics'!I68="", "", 'Magic &amp; Psionics'!I68)</f>
        <v/>
      </c>
      <c r="J68" s="1251"/>
      <c r="K68" s="1252"/>
      <c r="L68" s="551"/>
      <c r="M68" s="1292" t="s">
        <v>5</v>
      </c>
      <c r="N68" s="1227"/>
      <c r="O68" s="1251" t="str">
        <f>IF('Magic &amp; Psionics'!O68="", "", 'Magic &amp; Psionics'!O68)</f>
        <v/>
      </c>
      <c r="P68" s="1251"/>
      <c r="Q68" s="1252"/>
    </row>
    <row r="69" spans="1:17" ht="12.75" customHeight="1" x14ac:dyDescent="0.25">
      <c r="A69" s="1149" t="s">
        <v>176</v>
      </c>
      <c r="B69" s="1150"/>
      <c r="C69" s="1151" t="str">
        <f>IF('Magic &amp; Psionics'!C69="", "", 'Magic &amp; Psionics'!C69)</f>
        <v/>
      </c>
      <c r="D69" s="1278"/>
      <c r="E69" s="1160"/>
      <c r="F69" s="551"/>
      <c r="G69" s="1149" t="s">
        <v>176</v>
      </c>
      <c r="H69" s="1150"/>
      <c r="I69" s="1151" t="str">
        <f>IF('Magic &amp; Psionics'!I69="", "", 'Magic &amp; Psionics'!I69)</f>
        <v/>
      </c>
      <c r="J69" s="1278"/>
      <c r="K69" s="1160"/>
      <c r="L69" s="551"/>
      <c r="M69" s="1149" t="s">
        <v>176</v>
      </c>
      <c r="N69" s="1150"/>
      <c r="O69" s="1151" t="str">
        <f>IF('Magic &amp; Psionics'!O69="", "", 'Magic &amp; Psionics'!O69)</f>
        <v/>
      </c>
      <c r="P69" s="1278"/>
      <c r="Q69" s="1160"/>
    </row>
    <row r="70" spans="1:17" ht="12.75" customHeight="1" x14ac:dyDescent="0.25">
      <c r="A70" s="1149" t="s">
        <v>177</v>
      </c>
      <c r="B70" s="1150"/>
      <c r="C70" s="1151" t="str">
        <f>IF('Magic &amp; Psionics'!C70="", "", 'Magic &amp; Psionics'!C70)</f>
        <v/>
      </c>
      <c r="D70" s="1278"/>
      <c r="E70" s="1160"/>
      <c r="F70" s="551"/>
      <c r="G70" s="1149" t="s">
        <v>177</v>
      </c>
      <c r="H70" s="1150"/>
      <c r="I70" s="1151" t="str">
        <f>IF('Magic &amp; Psionics'!I70="", "", 'Magic &amp; Psionics'!I70)</f>
        <v/>
      </c>
      <c r="J70" s="1278"/>
      <c r="K70" s="1160"/>
      <c r="L70" s="551"/>
      <c r="M70" s="1149" t="s">
        <v>177</v>
      </c>
      <c r="N70" s="1150"/>
      <c r="O70" s="1151" t="str">
        <f>IF('Magic &amp; Psionics'!O70="", "", 'Magic &amp; Psionics'!O70)</f>
        <v/>
      </c>
      <c r="P70" s="1278"/>
      <c r="Q70" s="1160"/>
    </row>
    <row r="71" spans="1:17" ht="12.75" customHeight="1" x14ac:dyDescent="0.25">
      <c r="A71" s="1149" t="s">
        <v>178</v>
      </c>
      <c r="B71" s="1150"/>
      <c r="C71" s="1151" t="str">
        <f>IF('Magic &amp; Psionics'!C71="", "", 'Magic &amp; Psionics'!C71)</f>
        <v/>
      </c>
      <c r="D71" s="1278"/>
      <c r="E71" s="1160"/>
      <c r="F71" s="551"/>
      <c r="G71" s="1149" t="s">
        <v>178</v>
      </c>
      <c r="H71" s="1150"/>
      <c r="I71" s="1151" t="str">
        <f>IF('Magic &amp; Psionics'!I71="", "", 'Magic &amp; Psionics'!I71)</f>
        <v/>
      </c>
      <c r="J71" s="1278"/>
      <c r="K71" s="1160"/>
      <c r="L71" s="551"/>
      <c r="M71" s="1149" t="s">
        <v>178</v>
      </c>
      <c r="N71" s="1150"/>
      <c r="O71" s="1151" t="str">
        <f>IF('Magic &amp; Psionics'!O71="", "", 'Magic &amp; Psionics'!O71)</f>
        <v/>
      </c>
      <c r="P71" s="1278"/>
      <c r="Q71" s="1160"/>
    </row>
    <row r="72" spans="1:17" ht="12.75" customHeight="1" x14ac:dyDescent="0.25">
      <c r="A72" s="1149" t="s">
        <v>179</v>
      </c>
      <c r="B72" s="1150"/>
      <c r="C72" s="1151" t="str">
        <f>IF('Magic &amp; Psionics'!C72="", "", 'Magic &amp; Psionics'!C72)</f>
        <v/>
      </c>
      <c r="D72" s="1278"/>
      <c r="E72" s="1160"/>
      <c r="F72" s="551"/>
      <c r="G72" s="1149" t="s">
        <v>179</v>
      </c>
      <c r="H72" s="1150"/>
      <c r="I72" s="1151" t="str">
        <f>IF('Magic &amp; Psionics'!I72="", "", 'Magic &amp; Psionics'!I72)</f>
        <v/>
      </c>
      <c r="J72" s="1278"/>
      <c r="K72" s="1160"/>
      <c r="L72" s="551"/>
      <c r="M72" s="1149" t="s">
        <v>179</v>
      </c>
      <c r="N72" s="1150"/>
      <c r="O72" s="1151" t="str">
        <f>IF('Magic &amp; Psionics'!O72="", "", 'Magic &amp; Psionics'!O72)</f>
        <v/>
      </c>
      <c r="P72" s="1278"/>
      <c r="Q72" s="1160"/>
    </row>
    <row r="73" spans="1:17" ht="12.75" customHeight="1" x14ac:dyDescent="0.25">
      <c r="A73" s="1149" t="s">
        <v>180</v>
      </c>
      <c r="B73" s="1150"/>
      <c r="C73" s="1151" t="str">
        <f>IF('Magic &amp; Psionics'!C73="", "", 'Magic &amp; Psionics'!C73)</f>
        <v/>
      </c>
      <c r="D73" s="1278"/>
      <c r="E73" s="1160"/>
      <c r="F73" s="551"/>
      <c r="G73" s="1149" t="s">
        <v>180</v>
      </c>
      <c r="H73" s="1150"/>
      <c r="I73" s="1151" t="str">
        <f>IF('Magic &amp; Psionics'!I73="", "", 'Magic &amp; Psionics'!I73)</f>
        <v/>
      </c>
      <c r="J73" s="1278"/>
      <c r="K73" s="1160"/>
      <c r="L73" s="551"/>
      <c r="M73" s="1149" t="s">
        <v>180</v>
      </c>
      <c r="N73" s="1150"/>
      <c r="O73" s="1151" t="str">
        <f>IF('Magic &amp; Psionics'!O73="", "", 'Magic &amp; Psionics'!O73)</f>
        <v/>
      </c>
      <c r="P73" s="1278"/>
      <c r="Q73" s="1160"/>
    </row>
    <row r="74" spans="1:17" ht="12.75" customHeight="1" thickBot="1" x14ac:dyDescent="0.3">
      <c r="A74" s="553" t="s">
        <v>103</v>
      </c>
      <c r="B74" s="1265" t="str">
        <f>IF('Magic &amp; Psionics'!B74="", "", 'Magic &amp; Psionics'!B74)</f>
        <v/>
      </c>
      <c r="C74" s="1265"/>
      <c r="D74" s="1265"/>
      <c r="E74" s="1266"/>
      <c r="F74" s="551"/>
      <c r="G74" s="553" t="s">
        <v>103</v>
      </c>
      <c r="H74" s="1265" t="str">
        <f>IF('Magic &amp; Psionics'!H74="", "", 'Magic &amp; Psionics'!H74)</f>
        <v/>
      </c>
      <c r="I74" s="1265"/>
      <c r="J74" s="1265"/>
      <c r="K74" s="1266"/>
      <c r="L74" s="551"/>
      <c r="M74" s="553" t="s">
        <v>103</v>
      </c>
      <c r="N74" s="1265" t="str">
        <f>IF('Magic &amp; Psionics'!N74="", "", 'Magic &amp; Psionics'!N74)</f>
        <v/>
      </c>
      <c r="O74" s="1265"/>
      <c r="P74" s="1265"/>
      <c r="Q74" s="1266"/>
    </row>
    <row r="75" spans="1:17" ht="3.75" customHeight="1" thickBot="1" x14ac:dyDescent="0.3">
      <c r="A75" s="551"/>
      <c r="B75" s="551"/>
      <c r="C75" s="551"/>
      <c r="D75" s="551"/>
      <c r="E75" s="551"/>
      <c r="F75" s="551"/>
      <c r="G75" s="551"/>
      <c r="H75" s="551"/>
      <c r="I75" s="551"/>
      <c r="J75" s="551"/>
      <c r="K75" s="551"/>
      <c r="L75" s="551"/>
      <c r="M75" s="551"/>
      <c r="N75" s="551"/>
      <c r="O75" s="551"/>
      <c r="P75" s="551"/>
      <c r="Q75" s="551"/>
    </row>
    <row r="76" spans="1:17" ht="12.75" customHeight="1" x14ac:dyDescent="0.25">
      <c r="A76" s="1292" t="s">
        <v>5</v>
      </c>
      <c r="B76" s="1227"/>
      <c r="C76" s="1251" t="str">
        <f>IF('Magic &amp; Psionics'!C76="", "", 'Magic &amp; Psionics'!C76)</f>
        <v/>
      </c>
      <c r="D76" s="1251"/>
      <c r="E76" s="1252"/>
      <c r="F76" s="551"/>
      <c r="G76" s="1292" t="s">
        <v>5</v>
      </c>
      <c r="H76" s="1227"/>
      <c r="I76" s="1251" t="str">
        <f>IF('Magic &amp; Psionics'!I76="", "", 'Magic &amp; Psionics'!I76)</f>
        <v/>
      </c>
      <c r="J76" s="1251"/>
      <c r="K76" s="1252"/>
      <c r="L76" s="551"/>
      <c r="M76" s="1292" t="s">
        <v>5</v>
      </c>
      <c r="N76" s="1227"/>
      <c r="O76" s="1251" t="str">
        <f>IF('Magic &amp; Psionics'!O76="", "", 'Magic &amp; Psionics'!O76)</f>
        <v/>
      </c>
      <c r="P76" s="1251"/>
      <c r="Q76" s="1252"/>
    </row>
    <row r="77" spans="1:17" ht="12.75" customHeight="1" x14ac:dyDescent="0.25">
      <c r="A77" s="1149" t="s">
        <v>176</v>
      </c>
      <c r="B77" s="1150"/>
      <c r="C77" s="1151" t="str">
        <f>IF('Magic &amp; Psionics'!C77="", "", 'Magic &amp; Psionics'!C77)</f>
        <v/>
      </c>
      <c r="D77" s="1278"/>
      <c r="E77" s="1160"/>
      <c r="F77" s="551"/>
      <c r="G77" s="1149" t="s">
        <v>176</v>
      </c>
      <c r="H77" s="1150"/>
      <c r="I77" s="1151" t="str">
        <f>IF('Magic &amp; Psionics'!I77="", "", 'Magic &amp; Psionics'!I77)</f>
        <v/>
      </c>
      <c r="J77" s="1278"/>
      <c r="K77" s="1160"/>
      <c r="L77" s="551"/>
      <c r="M77" s="1149" t="s">
        <v>176</v>
      </c>
      <c r="N77" s="1150"/>
      <c r="O77" s="1151" t="str">
        <f>IF('Magic &amp; Psionics'!O77="", "", 'Magic &amp; Psionics'!O77)</f>
        <v/>
      </c>
      <c r="P77" s="1278"/>
      <c r="Q77" s="1160"/>
    </row>
    <row r="78" spans="1:17" ht="12.75" customHeight="1" x14ac:dyDescent="0.25">
      <c r="A78" s="1149" t="s">
        <v>177</v>
      </c>
      <c r="B78" s="1150"/>
      <c r="C78" s="1151" t="str">
        <f>IF('Magic &amp; Psionics'!C78="", "", 'Magic &amp; Psionics'!C78)</f>
        <v/>
      </c>
      <c r="D78" s="1278"/>
      <c r="E78" s="1160"/>
      <c r="F78" s="551"/>
      <c r="G78" s="1149" t="s">
        <v>177</v>
      </c>
      <c r="H78" s="1150"/>
      <c r="I78" s="1151" t="str">
        <f>IF('Magic &amp; Psionics'!I78="", "", 'Magic &amp; Psionics'!I78)</f>
        <v/>
      </c>
      <c r="J78" s="1278"/>
      <c r="K78" s="1160"/>
      <c r="L78" s="551"/>
      <c r="M78" s="1149" t="s">
        <v>177</v>
      </c>
      <c r="N78" s="1150"/>
      <c r="O78" s="1151" t="str">
        <f>IF('Magic &amp; Psionics'!O78="", "", 'Magic &amp; Psionics'!O78)</f>
        <v/>
      </c>
      <c r="P78" s="1278"/>
      <c r="Q78" s="1160"/>
    </row>
    <row r="79" spans="1:17" ht="12.75" customHeight="1" x14ac:dyDescent="0.25">
      <c r="A79" s="1149" t="s">
        <v>178</v>
      </c>
      <c r="B79" s="1150"/>
      <c r="C79" s="1151" t="str">
        <f>IF('Magic &amp; Psionics'!C79="", "", 'Magic &amp; Psionics'!C79)</f>
        <v/>
      </c>
      <c r="D79" s="1278"/>
      <c r="E79" s="1160"/>
      <c r="F79" s="551"/>
      <c r="G79" s="1149" t="s">
        <v>178</v>
      </c>
      <c r="H79" s="1150"/>
      <c r="I79" s="1151" t="str">
        <f>IF('Magic &amp; Psionics'!I79="", "", 'Magic &amp; Psionics'!I79)</f>
        <v/>
      </c>
      <c r="J79" s="1278"/>
      <c r="K79" s="1160"/>
      <c r="L79" s="551"/>
      <c r="M79" s="1149" t="s">
        <v>178</v>
      </c>
      <c r="N79" s="1150"/>
      <c r="O79" s="1151" t="str">
        <f>IF('Magic &amp; Psionics'!O79="", "", 'Magic &amp; Psionics'!O79)</f>
        <v/>
      </c>
      <c r="P79" s="1278"/>
      <c r="Q79" s="1160"/>
    </row>
    <row r="80" spans="1:17" ht="12.75" customHeight="1" x14ac:dyDescent="0.25">
      <c r="A80" s="1149" t="s">
        <v>179</v>
      </c>
      <c r="B80" s="1150"/>
      <c r="C80" s="1151" t="str">
        <f>IF('Magic &amp; Psionics'!C80="", "", 'Magic &amp; Psionics'!C80)</f>
        <v/>
      </c>
      <c r="D80" s="1278"/>
      <c r="E80" s="1160"/>
      <c r="F80" s="551"/>
      <c r="G80" s="1149" t="s">
        <v>179</v>
      </c>
      <c r="H80" s="1150"/>
      <c r="I80" s="1151" t="str">
        <f>IF('Magic &amp; Psionics'!I80="", "", 'Magic &amp; Psionics'!I80)</f>
        <v/>
      </c>
      <c r="J80" s="1278"/>
      <c r="K80" s="1160"/>
      <c r="L80" s="551"/>
      <c r="M80" s="1149" t="s">
        <v>179</v>
      </c>
      <c r="N80" s="1150"/>
      <c r="O80" s="1151" t="str">
        <f>IF('Magic &amp; Psionics'!O80="", "", 'Magic &amp; Psionics'!O80)</f>
        <v/>
      </c>
      <c r="P80" s="1278"/>
      <c r="Q80" s="1160"/>
    </row>
    <row r="81" spans="1:17" ht="12.75" customHeight="1" x14ac:dyDescent="0.25">
      <c r="A81" s="1149" t="s">
        <v>180</v>
      </c>
      <c r="B81" s="1150"/>
      <c r="C81" s="1151" t="str">
        <f>IF('Magic &amp; Psionics'!C81="", "", 'Magic &amp; Psionics'!C81)</f>
        <v/>
      </c>
      <c r="D81" s="1278"/>
      <c r="E81" s="1160"/>
      <c r="F81" s="551"/>
      <c r="G81" s="1149" t="s">
        <v>180</v>
      </c>
      <c r="H81" s="1150"/>
      <c r="I81" s="1151" t="str">
        <f>IF('Magic &amp; Psionics'!I81="", "", 'Magic &amp; Psionics'!I81)</f>
        <v/>
      </c>
      <c r="J81" s="1278"/>
      <c r="K81" s="1160"/>
      <c r="L81" s="551"/>
      <c r="M81" s="1149" t="s">
        <v>180</v>
      </c>
      <c r="N81" s="1150"/>
      <c r="O81" s="1151" t="str">
        <f>IF('Magic &amp; Psionics'!O81="", "", 'Magic &amp; Psionics'!O81)</f>
        <v/>
      </c>
      <c r="P81" s="1278"/>
      <c r="Q81" s="1160"/>
    </row>
    <row r="82" spans="1:17" ht="12.75" customHeight="1" thickBot="1" x14ac:dyDescent="0.3">
      <c r="A82" s="553" t="s">
        <v>103</v>
      </c>
      <c r="B82" s="1265" t="str">
        <f>IF('Magic &amp; Psionics'!B82="", "", 'Magic &amp; Psionics'!B82)</f>
        <v/>
      </c>
      <c r="C82" s="1265"/>
      <c r="D82" s="1265"/>
      <c r="E82" s="1266"/>
      <c r="F82" s="551"/>
      <c r="G82" s="553" t="s">
        <v>103</v>
      </c>
      <c r="H82" s="1265" t="str">
        <f>IF('Magic &amp; Psionics'!H82="", "", 'Magic &amp; Psionics'!H82)</f>
        <v/>
      </c>
      <c r="I82" s="1265"/>
      <c r="J82" s="1265"/>
      <c r="K82" s="1266"/>
      <c r="L82" s="551"/>
      <c r="M82" s="553" t="s">
        <v>103</v>
      </c>
      <c r="N82" s="1265" t="str">
        <f>IF('Magic &amp; Psionics'!N82="", "", 'Magic &amp; Psionics'!N82)</f>
        <v/>
      </c>
      <c r="O82" s="1265"/>
      <c r="P82" s="1265"/>
      <c r="Q82" s="1266"/>
    </row>
    <row r="83" spans="1:17" ht="3.75" customHeight="1" thickBot="1" x14ac:dyDescent="0.3">
      <c r="A83" s="551"/>
      <c r="B83" s="551"/>
      <c r="C83" s="551"/>
      <c r="D83" s="551"/>
      <c r="E83" s="551"/>
      <c r="F83" s="551"/>
      <c r="G83" s="551"/>
      <c r="H83" s="551"/>
      <c r="I83" s="551"/>
      <c r="J83" s="551"/>
      <c r="K83" s="551"/>
      <c r="L83" s="551"/>
      <c r="M83" s="551"/>
      <c r="N83" s="551"/>
      <c r="O83" s="551"/>
      <c r="P83" s="551"/>
      <c r="Q83" s="551"/>
    </row>
    <row r="84" spans="1:17" ht="12.75" customHeight="1" x14ac:dyDescent="0.25">
      <c r="A84" s="1292" t="s">
        <v>5</v>
      </c>
      <c r="B84" s="1227"/>
      <c r="C84" s="1251" t="str">
        <f>IF('Magic &amp; Psionics'!C84="", "", 'Magic &amp; Psionics'!C84)</f>
        <v/>
      </c>
      <c r="D84" s="1251"/>
      <c r="E84" s="1252"/>
      <c r="F84" s="551"/>
      <c r="G84" s="1292" t="s">
        <v>5</v>
      </c>
      <c r="H84" s="1227"/>
      <c r="I84" s="1251" t="str">
        <f>IF('Magic &amp; Psionics'!I84="", "", 'Magic &amp; Psionics'!I84)</f>
        <v/>
      </c>
      <c r="J84" s="1251"/>
      <c r="K84" s="1252"/>
      <c r="L84" s="551"/>
      <c r="M84" s="1292" t="s">
        <v>5</v>
      </c>
      <c r="N84" s="1227"/>
      <c r="O84" s="1251" t="str">
        <f>IF('Magic &amp; Psionics'!O84="", "", 'Magic &amp; Psionics'!O84)</f>
        <v/>
      </c>
      <c r="P84" s="1251"/>
      <c r="Q84" s="1252"/>
    </row>
    <row r="85" spans="1:17" ht="12.75" customHeight="1" x14ac:dyDescent="0.25">
      <c r="A85" s="1149" t="s">
        <v>176</v>
      </c>
      <c r="B85" s="1150"/>
      <c r="C85" s="1151" t="str">
        <f>IF('Magic &amp; Psionics'!C85="", "", 'Magic &amp; Psionics'!C85)</f>
        <v/>
      </c>
      <c r="D85" s="1278"/>
      <c r="E85" s="1160"/>
      <c r="F85" s="551"/>
      <c r="G85" s="1149" t="s">
        <v>176</v>
      </c>
      <c r="H85" s="1150"/>
      <c r="I85" s="1151" t="str">
        <f>IF('Magic &amp; Psionics'!I85="", "", 'Magic &amp; Psionics'!I85)</f>
        <v/>
      </c>
      <c r="J85" s="1278"/>
      <c r="K85" s="1160"/>
      <c r="L85" s="551"/>
      <c r="M85" s="1149" t="s">
        <v>176</v>
      </c>
      <c r="N85" s="1150"/>
      <c r="O85" s="1151" t="str">
        <f>IF('Magic &amp; Psionics'!O85="", "", 'Magic &amp; Psionics'!O85)</f>
        <v/>
      </c>
      <c r="P85" s="1278"/>
      <c r="Q85" s="1160"/>
    </row>
    <row r="86" spans="1:17" ht="12.75" customHeight="1" x14ac:dyDescent="0.25">
      <c r="A86" s="1149" t="s">
        <v>177</v>
      </c>
      <c r="B86" s="1150"/>
      <c r="C86" s="1151" t="str">
        <f>IF('Magic &amp; Psionics'!C86="", "", 'Magic &amp; Psionics'!C86)</f>
        <v/>
      </c>
      <c r="D86" s="1278"/>
      <c r="E86" s="1160"/>
      <c r="F86" s="551"/>
      <c r="G86" s="1149" t="s">
        <v>177</v>
      </c>
      <c r="H86" s="1150"/>
      <c r="I86" s="1151" t="str">
        <f>IF('Magic &amp; Psionics'!I86="", "", 'Magic &amp; Psionics'!I86)</f>
        <v/>
      </c>
      <c r="J86" s="1278"/>
      <c r="K86" s="1160"/>
      <c r="L86" s="551"/>
      <c r="M86" s="1149" t="s">
        <v>177</v>
      </c>
      <c r="N86" s="1150"/>
      <c r="O86" s="1151" t="str">
        <f>IF('Magic &amp; Psionics'!O86="", "", 'Magic &amp; Psionics'!O86)</f>
        <v/>
      </c>
      <c r="P86" s="1278"/>
      <c r="Q86" s="1160"/>
    </row>
    <row r="87" spans="1:17" ht="12.75" customHeight="1" x14ac:dyDescent="0.25">
      <c r="A87" s="1149" t="s">
        <v>178</v>
      </c>
      <c r="B87" s="1150"/>
      <c r="C87" s="1151" t="str">
        <f>IF('Magic &amp; Psionics'!C87="", "", 'Magic &amp; Psionics'!C87)</f>
        <v/>
      </c>
      <c r="D87" s="1278"/>
      <c r="E87" s="1160"/>
      <c r="F87" s="551"/>
      <c r="G87" s="1149" t="s">
        <v>178</v>
      </c>
      <c r="H87" s="1150"/>
      <c r="I87" s="1151" t="str">
        <f>IF('Magic &amp; Psionics'!I87="", "", 'Magic &amp; Psionics'!I87)</f>
        <v/>
      </c>
      <c r="J87" s="1278"/>
      <c r="K87" s="1160"/>
      <c r="L87" s="551"/>
      <c r="M87" s="1149" t="s">
        <v>178</v>
      </c>
      <c r="N87" s="1150"/>
      <c r="O87" s="1151" t="str">
        <f>IF('Magic &amp; Psionics'!O87="", "", 'Magic &amp; Psionics'!O87)</f>
        <v/>
      </c>
      <c r="P87" s="1278"/>
      <c r="Q87" s="1160"/>
    </row>
    <row r="88" spans="1:17" ht="12.75" customHeight="1" x14ac:dyDescent="0.25">
      <c r="A88" s="1149" t="s">
        <v>179</v>
      </c>
      <c r="B88" s="1150"/>
      <c r="C88" s="1151" t="str">
        <f>IF('Magic &amp; Psionics'!C88="", "", 'Magic &amp; Psionics'!C88)</f>
        <v/>
      </c>
      <c r="D88" s="1278"/>
      <c r="E88" s="1160"/>
      <c r="F88" s="551"/>
      <c r="G88" s="1149" t="s">
        <v>179</v>
      </c>
      <c r="H88" s="1150"/>
      <c r="I88" s="1151" t="str">
        <f>IF('Magic &amp; Psionics'!I88="", "", 'Magic &amp; Psionics'!I88)</f>
        <v/>
      </c>
      <c r="J88" s="1278"/>
      <c r="K88" s="1160"/>
      <c r="L88" s="551"/>
      <c r="M88" s="1149" t="s">
        <v>179</v>
      </c>
      <c r="N88" s="1150"/>
      <c r="O88" s="1151" t="str">
        <f>IF('Magic &amp; Psionics'!O88="", "", 'Magic &amp; Psionics'!O88)</f>
        <v/>
      </c>
      <c r="P88" s="1278"/>
      <c r="Q88" s="1160"/>
    </row>
    <row r="89" spans="1:17" ht="12.75" customHeight="1" x14ac:dyDescent="0.25">
      <c r="A89" s="1149" t="s">
        <v>180</v>
      </c>
      <c r="B89" s="1150"/>
      <c r="C89" s="1151" t="str">
        <f>IF('Magic &amp; Psionics'!C89="", "", 'Magic &amp; Psionics'!C89)</f>
        <v/>
      </c>
      <c r="D89" s="1278"/>
      <c r="E89" s="1160"/>
      <c r="F89" s="551"/>
      <c r="G89" s="1149" t="s">
        <v>180</v>
      </c>
      <c r="H89" s="1150"/>
      <c r="I89" s="1151" t="str">
        <f>IF('Magic &amp; Psionics'!I89="", "", 'Magic &amp; Psionics'!I89)</f>
        <v/>
      </c>
      <c r="J89" s="1278"/>
      <c r="K89" s="1160"/>
      <c r="L89" s="551"/>
      <c r="M89" s="1149" t="s">
        <v>180</v>
      </c>
      <c r="N89" s="1150"/>
      <c r="O89" s="1151" t="str">
        <f>IF('Magic &amp; Psionics'!O89="", "", 'Magic &amp; Psionics'!O89)</f>
        <v/>
      </c>
      <c r="P89" s="1278"/>
      <c r="Q89" s="1160"/>
    </row>
    <row r="90" spans="1:17" ht="12.75" customHeight="1" thickBot="1" x14ac:dyDescent="0.3">
      <c r="A90" s="553" t="s">
        <v>103</v>
      </c>
      <c r="B90" s="1265" t="str">
        <f>IF('Magic &amp; Psionics'!B90="", "", 'Magic &amp; Psionics'!B90)</f>
        <v/>
      </c>
      <c r="C90" s="1265"/>
      <c r="D90" s="1265"/>
      <c r="E90" s="1266"/>
      <c r="F90" s="551"/>
      <c r="G90" s="553" t="s">
        <v>103</v>
      </c>
      <c r="H90" s="1265" t="str">
        <f>IF('Magic &amp; Psionics'!H90="", "", 'Magic &amp; Psionics'!H90)</f>
        <v/>
      </c>
      <c r="I90" s="1265"/>
      <c r="J90" s="1265"/>
      <c r="K90" s="1266"/>
      <c r="L90" s="551"/>
      <c r="M90" s="553" t="s">
        <v>103</v>
      </c>
      <c r="N90" s="1265" t="str">
        <f>IF('Magic &amp; Psionics'!N90="", "", 'Magic &amp; Psionics'!N90)</f>
        <v/>
      </c>
      <c r="O90" s="1265"/>
      <c r="P90" s="1265"/>
      <c r="Q90" s="1266"/>
    </row>
    <row r="91" spans="1:17" ht="3.75" customHeight="1" thickBot="1" x14ac:dyDescent="0.3">
      <c r="A91" s="551"/>
      <c r="B91" s="551"/>
      <c r="C91" s="551"/>
      <c r="D91" s="551"/>
      <c r="E91" s="551"/>
      <c r="F91" s="551"/>
      <c r="G91" s="551"/>
      <c r="H91" s="551"/>
      <c r="I91" s="551"/>
      <c r="J91" s="551"/>
      <c r="K91" s="551"/>
      <c r="L91" s="551"/>
      <c r="M91" s="551"/>
      <c r="N91" s="551"/>
      <c r="O91" s="551"/>
      <c r="P91" s="551"/>
      <c r="Q91" s="551"/>
    </row>
    <row r="92" spans="1:17" ht="12.75" customHeight="1" x14ac:dyDescent="0.25">
      <c r="A92" s="1292" t="s">
        <v>5</v>
      </c>
      <c r="B92" s="1227"/>
      <c r="C92" s="1251" t="str">
        <f>IF('Magic &amp; Psionics'!C92="", "", 'Magic &amp; Psionics'!C92)</f>
        <v/>
      </c>
      <c r="D92" s="1251"/>
      <c r="E92" s="1252"/>
      <c r="F92" s="551"/>
      <c r="G92" s="1292" t="s">
        <v>5</v>
      </c>
      <c r="H92" s="1227"/>
      <c r="I92" s="1251" t="str">
        <f>IF('Magic &amp; Psionics'!I92="", "", 'Magic &amp; Psionics'!I92)</f>
        <v/>
      </c>
      <c r="J92" s="1251"/>
      <c r="K92" s="1252"/>
      <c r="L92" s="551"/>
      <c r="M92" s="1292" t="s">
        <v>5</v>
      </c>
      <c r="N92" s="1227"/>
      <c r="O92" s="1251" t="str">
        <f>IF('Magic &amp; Psionics'!O92="", "", 'Magic &amp; Psionics'!O92)</f>
        <v/>
      </c>
      <c r="P92" s="1251"/>
      <c r="Q92" s="1252"/>
    </row>
    <row r="93" spans="1:17" ht="12.75" customHeight="1" x14ac:dyDescent="0.25">
      <c r="A93" s="1149" t="s">
        <v>176</v>
      </c>
      <c r="B93" s="1150"/>
      <c r="C93" s="1151" t="str">
        <f>IF('Magic &amp; Psionics'!C93="", "", 'Magic &amp; Psionics'!C93)</f>
        <v/>
      </c>
      <c r="D93" s="1278"/>
      <c r="E93" s="1160"/>
      <c r="F93" s="551"/>
      <c r="G93" s="1149" t="s">
        <v>176</v>
      </c>
      <c r="H93" s="1150"/>
      <c r="I93" s="1151" t="str">
        <f>IF('Magic &amp; Psionics'!I93="", "", 'Magic &amp; Psionics'!I93)</f>
        <v/>
      </c>
      <c r="J93" s="1278"/>
      <c r="K93" s="1160"/>
      <c r="L93" s="551"/>
      <c r="M93" s="1149" t="s">
        <v>176</v>
      </c>
      <c r="N93" s="1150"/>
      <c r="O93" s="1151" t="str">
        <f>IF('Magic &amp; Psionics'!O93="", "", 'Magic &amp; Psionics'!O93)</f>
        <v/>
      </c>
      <c r="P93" s="1278"/>
      <c r="Q93" s="1160"/>
    </row>
    <row r="94" spans="1:17" ht="12.75" customHeight="1" x14ac:dyDescent="0.25">
      <c r="A94" s="1149" t="s">
        <v>177</v>
      </c>
      <c r="B94" s="1150"/>
      <c r="C94" s="1151" t="str">
        <f>IF('Magic &amp; Psionics'!C94="", "", 'Magic &amp; Psionics'!C94)</f>
        <v/>
      </c>
      <c r="D94" s="1278"/>
      <c r="E94" s="1160"/>
      <c r="F94" s="551"/>
      <c r="G94" s="1149" t="s">
        <v>177</v>
      </c>
      <c r="H94" s="1150"/>
      <c r="I94" s="1151" t="str">
        <f>IF('Magic &amp; Psionics'!I94="", "", 'Magic &amp; Psionics'!I94)</f>
        <v/>
      </c>
      <c r="J94" s="1278"/>
      <c r="K94" s="1160"/>
      <c r="L94" s="551"/>
      <c r="M94" s="1149" t="s">
        <v>177</v>
      </c>
      <c r="N94" s="1150"/>
      <c r="O94" s="1151" t="str">
        <f>IF('Magic &amp; Psionics'!O94="", "", 'Magic &amp; Psionics'!O94)</f>
        <v/>
      </c>
      <c r="P94" s="1278"/>
      <c r="Q94" s="1160"/>
    </row>
    <row r="95" spans="1:17" ht="12.75" customHeight="1" x14ac:dyDescent="0.25">
      <c r="A95" s="1149" t="s">
        <v>178</v>
      </c>
      <c r="B95" s="1150"/>
      <c r="C95" s="1151" t="str">
        <f>IF('Magic &amp; Psionics'!C95="", "", 'Magic &amp; Psionics'!C95)</f>
        <v/>
      </c>
      <c r="D95" s="1278"/>
      <c r="E95" s="1160"/>
      <c r="F95" s="551"/>
      <c r="G95" s="1149" t="s">
        <v>178</v>
      </c>
      <c r="H95" s="1150"/>
      <c r="I95" s="1151" t="str">
        <f>IF('Magic &amp; Psionics'!I95="", "", 'Magic &amp; Psionics'!I95)</f>
        <v/>
      </c>
      <c r="J95" s="1278"/>
      <c r="K95" s="1160"/>
      <c r="L95" s="551"/>
      <c r="M95" s="1149" t="s">
        <v>178</v>
      </c>
      <c r="N95" s="1150"/>
      <c r="O95" s="1151" t="str">
        <f>IF('Magic &amp; Psionics'!O95="", "", 'Magic &amp; Psionics'!O95)</f>
        <v/>
      </c>
      <c r="P95" s="1278"/>
      <c r="Q95" s="1160"/>
    </row>
    <row r="96" spans="1:17" ht="12.75" customHeight="1" x14ac:dyDescent="0.25">
      <c r="A96" s="1149" t="s">
        <v>179</v>
      </c>
      <c r="B96" s="1150"/>
      <c r="C96" s="1151" t="str">
        <f>IF('Magic &amp; Psionics'!C96="", "", 'Magic &amp; Psionics'!C96)</f>
        <v/>
      </c>
      <c r="D96" s="1278"/>
      <c r="E96" s="1160"/>
      <c r="F96" s="551"/>
      <c r="G96" s="1149" t="s">
        <v>179</v>
      </c>
      <c r="H96" s="1150"/>
      <c r="I96" s="1151" t="str">
        <f>IF('Magic &amp; Psionics'!I96="", "", 'Magic &amp; Psionics'!I96)</f>
        <v/>
      </c>
      <c r="J96" s="1278"/>
      <c r="K96" s="1160"/>
      <c r="L96" s="551"/>
      <c r="M96" s="1149" t="s">
        <v>179</v>
      </c>
      <c r="N96" s="1150"/>
      <c r="O96" s="1151" t="str">
        <f>IF('Magic &amp; Psionics'!O96="", "", 'Magic &amp; Psionics'!O96)</f>
        <v/>
      </c>
      <c r="P96" s="1278"/>
      <c r="Q96" s="1160"/>
    </row>
    <row r="97" spans="1:17" ht="12.75" customHeight="1" x14ac:dyDescent="0.25">
      <c r="A97" s="1149" t="s">
        <v>180</v>
      </c>
      <c r="B97" s="1150"/>
      <c r="C97" s="1151" t="str">
        <f>IF('Magic &amp; Psionics'!C97="", "", 'Magic &amp; Psionics'!C97)</f>
        <v/>
      </c>
      <c r="D97" s="1278"/>
      <c r="E97" s="1160"/>
      <c r="F97" s="551"/>
      <c r="G97" s="1149" t="s">
        <v>180</v>
      </c>
      <c r="H97" s="1150"/>
      <c r="I97" s="1151" t="str">
        <f>IF('Magic &amp; Psionics'!I97="", "", 'Magic &amp; Psionics'!I97)</f>
        <v/>
      </c>
      <c r="J97" s="1278"/>
      <c r="K97" s="1160"/>
      <c r="L97" s="551"/>
      <c r="M97" s="1149" t="s">
        <v>180</v>
      </c>
      <c r="N97" s="1150"/>
      <c r="O97" s="1151" t="str">
        <f>IF('Magic &amp; Psionics'!O97="", "", 'Magic &amp; Psionics'!O97)</f>
        <v/>
      </c>
      <c r="P97" s="1278"/>
      <c r="Q97" s="1160"/>
    </row>
    <row r="98" spans="1:17" ht="12.75" customHeight="1" thickBot="1" x14ac:dyDescent="0.3">
      <c r="A98" s="553" t="s">
        <v>103</v>
      </c>
      <c r="B98" s="1265" t="str">
        <f>IF('Magic &amp; Psionics'!B98="", "", 'Magic &amp; Psionics'!B98)</f>
        <v/>
      </c>
      <c r="C98" s="1265"/>
      <c r="D98" s="1265"/>
      <c r="E98" s="1266"/>
      <c r="F98" s="551"/>
      <c r="G98" s="553" t="s">
        <v>103</v>
      </c>
      <c r="H98" s="1265" t="str">
        <f>IF('Magic &amp; Psionics'!H98="", "", 'Magic &amp; Psionics'!H98)</f>
        <v/>
      </c>
      <c r="I98" s="1265"/>
      <c r="J98" s="1265"/>
      <c r="K98" s="1266"/>
      <c r="L98" s="551"/>
      <c r="M98" s="553" t="s">
        <v>103</v>
      </c>
      <c r="N98" s="1265" t="str">
        <f>IF('Magic &amp; Psionics'!N98="", "", 'Magic &amp; Psionics'!N98)</f>
        <v/>
      </c>
      <c r="O98" s="1265"/>
      <c r="P98" s="1265"/>
      <c r="Q98" s="1266"/>
    </row>
    <row r="99" spans="1:17" ht="3.75" customHeight="1" thickBot="1" x14ac:dyDescent="0.3">
      <c r="A99" s="551"/>
      <c r="B99" s="551"/>
      <c r="C99" s="551"/>
      <c r="D99" s="551"/>
      <c r="E99" s="551"/>
      <c r="F99" s="551"/>
      <c r="G99" s="551"/>
      <c r="H99" s="551"/>
      <c r="I99" s="551"/>
      <c r="J99" s="551"/>
      <c r="K99" s="551"/>
      <c r="L99" s="551"/>
      <c r="M99" s="551"/>
      <c r="N99" s="551"/>
      <c r="O99" s="551"/>
      <c r="P99" s="551"/>
      <c r="Q99" s="551"/>
    </row>
    <row r="100" spans="1:17" ht="12.75" customHeight="1" x14ac:dyDescent="0.25">
      <c r="A100" s="1292" t="s">
        <v>5</v>
      </c>
      <c r="B100" s="1227"/>
      <c r="C100" s="1251" t="str">
        <f>IF('Magic &amp; Psionics'!C100="", "", 'Magic &amp; Psionics'!C100)</f>
        <v/>
      </c>
      <c r="D100" s="1251"/>
      <c r="E100" s="1252"/>
      <c r="F100" s="551"/>
      <c r="G100" s="1292" t="s">
        <v>5</v>
      </c>
      <c r="H100" s="1227"/>
      <c r="I100" s="1251" t="str">
        <f>IF('Magic &amp; Psionics'!I100="", "", 'Magic &amp; Psionics'!I100)</f>
        <v/>
      </c>
      <c r="J100" s="1251"/>
      <c r="K100" s="1252"/>
      <c r="L100" s="551"/>
      <c r="M100" s="1292" t="s">
        <v>5</v>
      </c>
      <c r="N100" s="1227"/>
      <c r="O100" s="1251" t="str">
        <f>IF('Magic &amp; Psionics'!O100="", "", 'Magic &amp; Psionics'!O100)</f>
        <v/>
      </c>
      <c r="P100" s="1251"/>
      <c r="Q100" s="1252"/>
    </row>
    <row r="101" spans="1:17" ht="12.75" customHeight="1" x14ac:dyDescent="0.25">
      <c r="A101" s="1149" t="s">
        <v>176</v>
      </c>
      <c r="B101" s="1150"/>
      <c r="C101" s="1151" t="str">
        <f>IF('Magic &amp; Psionics'!C101="", "", 'Magic &amp; Psionics'!C101)</f>
        <v/>
      </c>
      <c r="D101" s="1278"/>
      <c r="E101" s="1160"/>
      <c r="F101" s="551"/>
      <c r="G101" s="1149" t="s">
        <v>176</v>
      </c>
      <c r="H101" s="1150"/>
      <c r="I101" s="1151" t="str">
        <f>IF('Magic &amp; Psionics'!I101="", "", 'Magic &amp; Psionics'!I101)</f>
        <v/>
      </c>
      <c r="J101" s="1278"/>
      <c r="K101" s="1160"/>
      <c r="L101" s="551"/>
      <c r="M101" s="1149" t="s">
        <v>176</v>
      </c>
      <c r="N101" s="1150"/>
      <c r="O101" s="1151" t="str">
        <f>IF('Magic &amp; Psionics'!O101="", "", 'Magic &amp; Psionics'!O101)</f>
        <v/>
      </c>
      <c r="P101" s="1278"/>
      <c r="Q101" s="1160"/>
    </row>
    <row r="102" spans="1:17" ht="12.75" customHeight="1" x14ac:dyDescent="0.25">
      <c r="A102" s="1149" t="s">
        <v>177</v>
      </c>
      <c r="B102" s="1150"/>
      <c r="C102" s="1151" t="str">
        <f>IF('Magic &amp; Psionics'!C102="", "", 'Magic &amp; Psionics'!C102)</f>
        <v/>
      </c>
      <c r="D102" s="1278"/>
      <c r="E102" s="1160"/>
      <c r="F102" s="551"/>
      <c r="G102" s="1149" t="s">
        <v>177</v>
      </c>
      <c r="H102" s="1150"/>
      <c r="I102" s="1151" t="str">
        <f>IF('Magic &amp; Psionics'!I102="", "", 'Magic &amp; Psionics'!I102)</f>
        <v/>
      </c>
      <c r="J102" s="1278"/>
      <c r="K102" s="1160"/>
      <c r="L102" s="551"/>
      <c r="M102" s="1149" t="s">
        <v>177</v>
      </c>
      <c r="N102" s="1150"/>
      <c r="O102" s="1151" t="str">
        <f>IF('Magic &amp; Psionics'!O102="", "", 'Magic &amp; Psionics'!O102)</f>
        <v/>
      </c>
      <c r="P102" s="1278"/>
      <c r="Q102" s="1160"/>
    </row>
    <row r="103" spans="1:17" ht="12.75" customHeight="1" x14ac:dyDescent="0.25">
      <c r="A103" s="1149" t="s">
        <v>178</v>
      </c>
      <c r="B103" s="1150"/>
      <c r="C103" s="1151" t="str">
        <f>IF('Magic &amp; Psionics'!C103="", "", 'Magic &amp; Psionics'!C103)</f>
        <v/>
      </c>
      <c r="D103" s="1278"/>
      <c r="E103" s="1160"/>
      <c r="F103" s="551"/>
      <c r="G103" s="1149" t="s">
        <v>178</v>
      </c>
      <c r="H103" s="1150"/>
      <c r="I103" s="1151" t="str">
        <f>IF('Magic &amp; Psionics'!I103="", "", 'Magic &amp; Psionics'!I103)</f>
        <v/>
      </c>
      <c r="J103" s="1278"/>
      <c r="K103" s="1160"/>
      <c r="L103" s="551"/>
      <c r="M103" s="1149" t="s">
        <v>178</v>
      </c>
      <c r="N103" s="1150"/>
      <c r="O103" s="1151" t="str">
        <f>IF('Magic &amp; Psionics'!O103="", "", 'Magic &amp; Psionics'!O103)</f>
        <v/>
      </c>
      <c r="P103" s="1278"/>
      <c r="Q103" s="1160"/>
    </row>
    <row r="104" spans="1:17" ht="12.75" customHeight="1" x14ac:dyDescent="0.25">
      <c r="A104" s="1149" t="s">
        <v>179</v>
      </c>
      <c r="B104" s="1150"/>
      <c r="C104" s="1151" t="str">
        <f>IF('Magic &amp; Psionics'!C104="", "", 'Magic &amp; Psionics'!C104)</f>
        <v/>
      </c>
      <c r="D104" s="1278"/>
      <c r="E104" s="1160"/>
      <c r="F104" s="551"/>
      <c r="G104" s="1149" t="s">
        <v>179</v>
      </c>
      <c r="H104" s="1150"/>
      <c r="I104" s="1151" t="str">
        <f>IF('Magic &amp; Psionics'!I104="", "", 'Magic &amp; Psionics'!I104)</f>
        <v/>
      </c>
      <c r="J104" s="1278"/>
      <c r="K104" s="1160"/>
      <c r="L104" s="551"/>
      <c r="M104" s="1149" t="s">
        <v>179</v>
      </c>
      <c r="N104" s="1150"/>
      <c r="O104" s="1151" t="str">
        <f>IF('Magic &amp; Psionics'!O104="", "", 'Magic &amp; Psionics'!O104)</f>
        <v/>
      </c>
      <c r="P104" s="1278"/>
      <c r="Q104" s="1160"/>
    </row>
    <row r="105" spans="1:17" ht="12.75" customHeight="1" x14ac:dyDescent="0.25">
      <c r="A105" s="1149" t="s">
        <v>180</v>
      </c>
      <c r="B105" s="1150"/>
      <c r="C105" s="1151" t="str">
        <f>IF('Magic &amp; Psionics'!C105="", "", 'Magic &amp; Psionics'!C105)</f>
        <v/>
      </c>
      <c r="D105" s="1278"/>
      <c r="E105" s="1160"/>
      <c r="F105" s="551"/>
      <c r="G105" s="1149" t="s">
        <v>180</v>
      </c>
      <c r="H105" s="1150"/>
      <c r="I105" s="1151" t="str">
        <f>IF('Magic &amp; Psionics'!I105="", "", 'Magic &amp; Psionics'!I105)</f>
        <v/>
      </c>
      <c r="J105" s="1278"/>
      <c r="K105" s="1160"/>
      <c r="L105" s="551"/>
      <c r="M105" s="1149" t="s">
        <v>180</v>
      </c>
      <c r="N105" s="1150"/>
      <c r="O105" s="1151" t="str">
        <f>IF('Magic &amp; Psionics'!O105="", "", 'Magic &amp; Psionics'!O105)</f>
        <v/>
      </c>
      <c r="P105" s="1278"/>
      <c r="Q105" s="1160"/>
    </row>
    <row r="106" spans="1:17" ht="12.75" customHeight="1" thickBot="1" x14ac:dyDescent="0.3">
      <c r="A106" s="553" t="s">
        <v>103</v>
      </c>
      <c r="B106" s="1265" t="str">
        <f>IF('Magic &amp; Psionics'!B106="", "", 'Magic &amp; Psionics'!B106)</f>
        <v/>
      </c>
      <c r="C106" s="1265"/>
      <c r="D106" s="1265"/>
      <c r="E106" s="1266"/>
      <c r="F106" s="551"/>
      <c r="G106" s="553" t="s">
        <v>103</v>
      </c>
      <c r="H106" s="1265" t="str">
        <f>IF('Magic &amp; Psionics'!H106="", "", 'Magic &amp; Psionics'!H106)</f>
        <v/>
      </c>
      <c r="I106" s="1265"/>
      <c r="J106" s="1265"/>
      <c r="K106" s="1266"/>
      <c r="L106" s="551"/>
      <c r="M106" s="553" t="s">
        <v>103</v>
      </c>
      <c r="N106" s="1265" t="str">
        <f>IF('Magic &amp; Psionics'!N106="", "", 'Magic &amp; Psionics'!N106)</f>
        <v/>
      </c>
      <c r="O106" s="1265"/>
      <c r="P106" s="1265"/>
      <c r="Q106" s="1266"/>
    </row>
    <row r="107" spans="1:17" ht="3.75" customHeight="1" thickBot="1" x14ac:dyDescent="0.3">
      <c r="A107" s="551"/>
      <c r="B107" s="551"/>
      <c r="C107" s="551"/>
      <c r="D107" s="551"/>
      <c r="E107" s="551"/>
      <c r="F107" s="551"/>
      <c r="G107" s="551"/>
      <c r="H107" s="551"/>
      <c r="I107" s="551"/>
      <c r="J107" s="551"/>
      <c r="K107" s="551"/>
      <c r="L107" s="551"/>
      <c r="M107" s="551"/>
      <c r="N107" s="551"/>
      <c r="O107" s="551"/>
      <c r="P107" s="551"/>
      <c r="Q107" s="551"/>
    </row>
    <row r="108" spans="1:17" ht="12.75" customHeight="1" x14ac:dyDescent="0.25">
      <c r="A108" s="1292" t="s">
        <v>5</v>
      </c>
      <c r="B108" s="1227"/>
      <c r="C108" s="1251" t="str">
        <f>IF('Magic &amp; Psionics'!C108="", "", 'Magic &amp; Psionics'!C108)</f>
        <v/>
      </c>
      <c r="D108" s="1251"/>
      <c r="E108" s="1252"/>
      <c r="F108" s="551"/>
      <c r="G108" s="1292" t="s">
        <v>5</v>
      </c>
      <c r="H108" s="1227"/>
      <c r="I108" s="1251" t="str">
        <f>IF('Magic &amp; Psionics'!I108="", "", 'Magic &amp; Psionics'!I108)</f>
        <v/>
      </c>
      <c r="J108" s="1251"/>
      <c r="K108" s="1252"/>
      <c r="L108" s="551"/>
      <c r="M108" s="1292" t="s">
        <v>5</v>
      </c>
      <c r="N108" s="1227"/>
      <c r="O108" s="1251" t="str">
        <f>IF('Magic &amp; Psionics'!O108="", "", 'Magic &amp; Psionics'!O108)</f>
        <v/>
      </c>
      <c r="P108" s="1251"/>
      <c r="Q108" s="1252"/>
    </row>
    <row r="109" spans="1:17" ht="12.75" customHeight="1" x14ac:dyDescent="0.25">
      <c r="A109" s="1149" t="s">
        <v>176</v>
      </c>
      <c r="B109" s="1150"/>
      <c r="C109" s="1151" t="str">
        <f>IF('Magic &amp; Psionics'!C109="", "", 'Magic &amp; Psionics'!C109)</f>
        <v/>
      </c>
      <c r="D109" s="1278"/>
      <c r="E109" s="1160"/>
      <c r="F109" s="551"/>
      <c r="G109" s="1149" t="s">
        <v>176</v>
      </c>
      <c r="H109" s="1150"/>
      <c r="I109" s="1151" t="str">
        <f>IF('Magic &amp; Psionics'!I109="", "", 'Magic &amp; Psionics'!I109)</f>
        <v/>
      </c>
      <c r="J109" s="1278"/>
      <c r="K109" s="1160"/>
      <c r="L109" s="551"/>
      <c r="M109" s="1149" t="s">
        <v>176</v>
      </c>
      <c r="N109" s="1150"/>
      <c r="O109" s="1151" t="str">
        <f>IF('Magic &amp; Psionics'!O109="", "", 'Magic &amp; Psionics'!O109)</f>
        <v/>
      </c>
      <c r="P109" s="1278"/>
      <c r="Q109" s="1160"/>
    </row>
    <row r="110" spans="1:17" ht="12.75" customHeight="1" x14ac:dyDescent="0.25">
      <c r="A110" s="1149" t="s">
        <v>177</v>
      </c>
      <c r="B110" s="1150"/>
      <c r="C110" s="1151" t="str">
        <f>IF('Magic &amp; Psionics'!C110="", "", 'Magic &amp; Psionics'!C110)</f>
        <v/>
      </c>
      <c r="D110" s="1278"/>
      <c r="E110" s="1160"/>
      <c r="F110" s="551"/>
      <c r="G110" s="1149" t="s">
        <v>177</v>
      </c>
      <c r="H110" s="1150"/>
      <c r="I110" s="1151" t="str">
        <f>IF('Magic &amp; Psionics'!I110="", "", 'Magic &amp; Psionics'!I110)</f>
        <v/>
      </c>
      <c r="J110" s="1278"/>
      <c r="K110" s="1160"/>
      <c r="L110" s="551"/>
      <c r="M110" s="1149" t="s">
        <v>177</v>
      </c>
      <c r="N110" s="1150"/>
      <c r="O110" s="1151" t="str">
        <f>IF('Magic &amp; Psionics'!O110="", "", 'Magic &amp; Psionics'!O110)</f>
        <v/>
      </c>
      <c r="P110" s="1278"/>
      <c r="Q110" s="1160"/>
    </row>
    <row r="111" spans="1:17" ht="12.75" customHeight="1" x14ac:dyDescent="0.25">
      <c r="A111" s="1149" t="s">
        <v>178</v>
      </c>
      <c r="B111" s="1150"/>
      <c r="C111" s="1151" t="str">
        <f>IF('Magic &amp; Psionics'!C111="", "", 'Magic &amp; Psionics'!C111)</f>
        <v/>
      </c>
      <c r="D111" s="1278"/>
      <c r="E111" s="1160"/>
      <c r="F111" s="551"/>
      <c r="G111" s="1149" t="s">
        <v>178</v>
      </c>
      <c r="H111" s="1150"/>
      <c r="I111" s="1151" t="str">
        <f>IF('Magic &amp; Psionics'!I111="", "", 'Magic &amp; Psionics'!I111)</f>
        <v/>
      </c>
      <c r="J111" s="1278"/>
      <c r="K111" s="1160"/>
      <c r="L111" s="551"/>
      <c r="M111" s="1149" t="s">
        <v>178</v>
      </c>
      <c r="N111" s="1150"/>
      <c r="O111" s="1151" t="str">
        <f>IF('Magic &amp; Psionics'!O111="", "", 'Magic &amp; Psionics'!O111)</f>
        <v/>
      </c>
      <c r="P111" s="1278"/>
      <c r="Q111" s="1160"/>
    </row>
    <row r="112" spans="1:17" ht="12.75" customHeight="1" x14ac:dyDescent="0.25">
      <c r="A112" s="1149" t="s">
        <v>179</v>
      </c>
      <c r="B112" s="1150"/>
      <c r="C112" s="1151" t="str">
        <f>IF('Magic &amp; Psionics'!C112="", "", 'Magic &amp; Psionics'!C112)</f>
        <v/>
      </c>
      <c r="D112" s="1278"/>
      <c r="E112" s="1160"/>
      <c r="F112" s="551"/>
      <c r="G112" s="1149" t="s">
        <v>179</v>
      </c>
      <c r="H112" s="1150"/>
      <c r="I112" s="1151" t="str">
        <f>IF('Magic &amp; Psionics'!I112="", "", 'Magic &amp; Psionics'!I112)</f>
        <v/>
      </c>
      <c r="J112" s="1278"/>
      <c r="K112" s="1160"/>
      <c r="L112" s="551"/>
      <c r="M112" s="1149" t="s">
        <v>179</v>
      </c>
      <c r="N112" s="1150"/>
      <c r="O112" s="1151" t="str">
        <f>IF('Magic &amp; Psionics'!O112="", "", 'Magic &amp; Psionics'!O112)</f>
        <v/>
      </c>
      <c r="P112" s="1278"/>
      <c r="Q112" s="1160"/>
    </row>
    <row r="113" spans="1:17" ht="12.75" customHeight="1" x14ac:dyDescent="0.25">
      <c r="A113" s="1149" t="s">
        <v>180</v>
      </c>
      <c r="B113" s="1150"/>
      <c r="C113" s="1151" t="str">
        <f>IF('Magic &amp; Psionics'!C113="", "", 'Magic &amp; Psionics'!C113)</f>
        <v/>
      </c>
      <c r="D113" s="1278"/>
      <c r="E113" s="1160"/>
      <c r="F113" s="551"/>
      <c r="G113" s="1149" t="s">
        <v>180</v>
      </c>
      <c r="H113" s="1150"/>
      <c r="I113" s="1151" t="str">
        <f>IF('Magic &amp; Psionics'!I113="", "", 'Magic &amp; Psionics'!I113)</f>
        <v/>
      </c>
      <c r="J113" s="1278"/>
      <c r="K113" s="1160"/>
      <c r="L113" s="551"/>
      <c r="M113" s="1149" t="s">
        <v>180</v>
      </c>
      <c r="N113" s="1150"/>
      <c r="O113" s="1151" t="str">
        <f>IF('Magic &amp; Psionics'!O113="", "", 'Magic &amp; Psionics'!O113)</f>
        <v/>
      </c>
      <c r="P113" s="1278"/>
      <c r="Q113" s="1160"/>
    </row>
    <row r="114" spans="1:17" ht="12.75" customHeight="1" thickBot="1" x14ac:dyDescent="0.3">
      <c r="A114" s="553" t="s">
        <v>103</v>
      </c>
      <c r="B114" s="1265" t="str">
        <f>IF('Magic &amp; Psionics'!B114="", "", 'Magic &amp; Psionics'!B114)</f>
        <v/>
      </c>
      <c r="C114" s="1265"/>
      <c r="D114" s="1265"/>
      <c r="E114" s="1266"/>
      <c r="F114" s="551"/>
      <c r="G114" s="553" t="s">
        <v>103</v>
      </c>
      <c r="H114" s="1265" t="str">
        <f>IF('Magic &amp; Psionics'!H114="", "", 'Magic &amp; Psionics'!H114)</f>
        <v/>
      </c>
      <c r="I114" s="1265"/>
      <c r="J114" s="1265"/>
      <c r="K114" s="1266"/>
      <c r="L114" s="551"/>
      <c r="M114" s="553" t="s">
        <v>103</v>
      </c>
      <c r="N114" s="1265" t="str">
        <f>IF('Magic &amp; Psionics'!N114="", "", 'Magic &amp; Psionics'!N114)</f>
        <v/>
      </c>
      <c r="O114" s="1265"/>
      <c r="P114" s="1265"/>
      <c r="Q114" s="1266"/>
    </row>
    <row r="115" spans="1:17" ht="3.75" customHeight="1" thickBot="1" x14ac:dyDescent="0.3">
      <c r="A115" s="551"/>
      <c r="B115" s="551"/>
      <c r="C115" s="551"/>
      <c r="D115" s="551"/>
      <c r="E115" s="551"/>
      <c r="F115" s="551"/>
      <c r="G115" s="551"/>
      <c r="H115" s="551"/>
      <c r="I115" s="551"/>
      <c r="J115" s="551"/>
      <c r="K115" s="551"/>
      <c r="L115" s="551"/>
      <c r="M115" s="551"/>
      <c r="N115" s="551"/>
      <c r="O115" s="551"/>
      <c r="P115" s="551"/>
      <c r="Q115" s="551"/>
    </row>
    <row r="116" spans="1:17" ht="12.75" customHeight="1" x14ac:dyDescent="0.25">
      <c r="A116" s="1292" t="s">
        <v>5</v>
      </c>
      <c r="B116" s="1227"/>
      <c r="C116" s="1251" t="str">
        <f>IF('Magic &amp; Psionics'!C116="", "", 'Magic &amp; Psionics'!C116)</f>
        <v/>
      </c>
      <c r="D116" s="1251"/>
      <c r="E116" s="1252"/>
      <c r="F116" s="551"/>
      <c r="G116" s="1292" t="s">
        <v>5</v>
      </c>
      <c r="H116" s="1227"/>
      <c r="I116" s="1251" t="str">
        <f>IF('Magic &amp; Psionics'!I116="", "", 'Magic &amp; Psionics'!I116)</f>
        <v/>
      </c>
      <c r="J116" s="1251"/>
      <c r="K116" s="1252"/>
      <c r="L116" s="551"/>
      <c r="M116" s="1292" t="s">
        <v>5</v>
      </c>
      <c r="N116" s="1227"/>
      <c r="O116" s="1251" t="str">
        <f>IF('Magic &amp; Psionics'!O116="", "", 'Magic &amp; Psionics'!O116)</f>
        <v/>
      </c>
      <c r="P116" s="1251"/>
      <c r="Q116" s="1252"/>
    </row>
    <row r="117" spans="1:17" ht="12.75" customHeight="1" x14ac:dyDescent="0.25">
      <c r="A117" s="1149" t="s">
        <v>176</v>
      </c>
      <c r="B117" s="1150"/>
      <c r="C117" s="1151" t="str">
        <f>IF('Magic &amp; Psionics'!C117="", "", 'Magic &amp; Psionics'!C117)</f>
        <v/>
      </c>
      <c r="D117" s="1278"/>
      <c r="E117" s="1160"/>
      <c r="F117" s="551"/>
      <c r="G117" s="1149" t="s">
        <v>176</v>
      </c>
      <c r="H117" s="1150"/>
      <c r="I117" s="1151" t="str">
        <f>IF('Magic &amp; Psionics'!I117="", "", 'Magic &amp; Psionics'!I117)</f>
        <v/>
      </c>
      <c r="J117" s="1278"/>
      <c r="K117" s="1160"/>
      <c r="L117" s="551"/>
      <c r="M117" s="1149" t="s">
        <v>176</v>
      </c>
      <c r="N117" s="1150"/>
      <c r="O117" s="1151" t="str">
        <f>IF('Magic &amp; Psionics'!O117="", "", 'Magic &amp; Psionics'!O117)</f>
        <v/>
      </c>
      <c r="P117" s="1278"/>
      <c r="Q117" s="1160"/>
    </row>
    <row r="118" spans="1:17" ht="12.75" customHeight="1" x14ac:dyDescent="0.25">
      <c r="A118" s="1149" t="s">
        <v>177</v>
      </c>
      <c r="B118" s="1150"/>
      <c r="C118" s="1151" t="str">
        <f>IF('Magic &amp; Psionics'!C118="", "", 'Magic &amp; Psionics'!C118)</f>
        <v/>
      </c>
      <c r="D118" s="1278"/>
      <c r="E118" s="1160"/>
      <c r="F118" s="551"/>
      <c r="G118" s="1149" t="s">
        <v>177</v>
      </c>
      <c r="H118" s="1150"/>
      <c r="I118" s="1151" t="str">
        <f>IF('Magic &amp; Psionics'!I118="", "", 'Magic &amp; Psionics'!I118)</f>
        <v/>
      </c>
      <c r="J118" s="1278"/>
      <c r="K118" s="1160"/>
      <c r="L118" s="551"/>
      <c r="M118" s="1149" t="s">
        <v>177</v>
      </c>
      <c r="N118" s="1150"/>
      <c r="O118" s="1151" t="str">
        <f>IF('Magic &amp; Psionics'!O118="", "", 'Magic &amp; Psionics'!O118)</f>
        <v/>
      </c>
      <c r="P118" s="1278"/>
      <c r="Q118" s="1160"/>
    </row>
    <row r="119" spans="1:17" ht="12.75" customHeight="1" x14ac:dyDescent="0.25">
      <c r="A119" s="1149" t="s">
        <v>178</v>
      </c>
      <c r="B119" s="1150"/>
      <c r="C119" s="1151" t="str">
        <f>IF('Magic &amp; Psionics'!C119="", "", 'Magic &amp; Psionics'!C119)</f>
        <v/>
      </c>
      <c r="D119" s="1278"/>
      <c r="E119" s="1160"/>
      <c r="F119" s="551"/>
      <c r="G119" s="1149" t="s">
        <v>178</v>
      </c>
      <c r="H119" s="1150"/>
      <c r="I119" s="1151" t="str">
        <f>IF('Magic &amp; Psionics'!I119="", "", 'Magic &amp; Psionics'!I119)</f>
        <v/>
      </c>
      <c r="J119" s="1278"/>
      <c r="K119" s="1160"/>
      <c r="L119" s="551"/>
      <c r="M119" s="1149" t="s">
        <v>178</v>
      </c>
      <c r="N119" s="1150"/>
      <c r="O119" s="1151" t="str">
        <f>IF('Magic &amp; Psionics'!O119="", "", 'Magic &amp; Psionics'!O119)</f>
        <v/>
      </c>
      <c r="P119" s="1278"/>
      <c r="Q119" s="1160"/>
    </row>
    <row r="120" spans="1:17" ht="12.75" customHeight="1" x14ac:dyDescent="0.25">
      <c r="A120" s="1149" t="s">
        <v>179</v>
      </c>
      <c r="B120" s="1150"/>
      <c r="C120" s="1151" t="str">
        <f>IF('Magic &amp; Psionics'!C120="", "", 'Magic &amp; Psionics'!C120)</f>
        <v/>
      </c>
      <c r="D120" s="1278"/>
      <c r="E120" s="1160"/>
      <c r="F120" s="551"/>
      <c r="G120" s="1149" t="s">
        <v>179</v>
      </c>
      <c r="H120" s="1150"/>
      <c r="I120" s="1151" t="str">
        <f>IF('Magic &amp; Psionics'!I120="", "", 'Magic &amp; Psionics'!I120)</f>
        <v/>
      </c>
      <c r="J120" s="1278"/>
      <c r="K120" s="1160"/>
      <c r="L120" s="551"/>
      <c r="M120" s="1149" t="s">
        <v>179</v>
      </c>
      <c r="N120" s="1150"/>
      <c r="O120" s="1151" t="str">
        <f>IF('Magic &amp; Psionics'!O120="", "", 'Magic &amp; Psionics'!O120)</f>
        <v/>
      </c>
      <c r="P120" s="1278"/>
      <c r="Q120" s="1160"/>
    </row>
    <row r="121" spans="1:17" ht="12.75" customHeight="1" x14ac:dyDescent="0.25">
      <c r="A121" s="1149" t="s">
        <v>180</v>
      </c>
      <c r="B121" s="1150"/>
      <c r="C121" s="1151" t="str">
        <f>IF('Magic &amp; Psionics'!C121="", "", 'Magic &amp; Psionics'!C121)</f>
        <v/>
      </c>
      <c r="D121" s="1278"/>
      <c r="E121" s="1160"/>
      <c r="F121" s="551"/>
      <c r="G121" s="1149" t="s">
        <v>180</v>
      </c>
      <c r="H121" s="1150"/>
      <c r="I121" s="1151" t="str">
        <f>IF('Magic &amp; Psionics'!I121="", "", 'Magic &amp; Psionics'!I121)</f>
        <v/>
      </c>
      <c r="J121" s="1278"/>
      <c r="K121" s="1160"/>
      <c r="L121" s="551"/>
      <c r="M121" s="1149" t="s">
        <v>180</v>
      </c>
      <c r="N121" s="1150"/>
      <c r="O121" s="1151" t="str">
        <f>IF('Magic &amp; Psionics'!O121="", "", 'Magic &amp; Psionics'!O121)</f>
        <v/>
      </c>
      <c r="P121" s="1278"/>
      <c r="Q121" s="1160"/>
    </row>
    <row r="122" spans="1:17" ht="12.75" customHeight="1" thickBot="1" x14ac:dyDescent="0.3">
      <c r="A122" s="553" t="s">
        <v>103</v>
      </c>
      <c r="B122" s="1265" t="str">
        <f>IF('Magic &amp; Psionics'!B122="", "", 'Magic &amp; Psionics'!B122)</f>
        <v/>
      </c>
      <c r="C122" s="1265"/>
      <c r="D122" s="1265"/>
      <c r="E122" s="1266"/>
      <c r="F122" s="551"/>
      <c r="G122" s="553" t="s">
        <v>103</v>
      </c>
      <c r="H122" s="1265" t="str">
        <f>IF('Magic &amp; Psionics'!H122="", "", 'Magic &amp; Psionics'!H122)</f>
        <v/>
      </c>
      <c r="I122" s="1265"/>
      <c r="J122" s="1265"/>
      <c r="K122" s="1266"/>
      <c r="L122" s="551"/>
      <c r="M122" s="553" t="s">
        <v>103</v>
      </c>
      <c r="N122" s="1265" t="str">
        <f>IF('Magic &amp; Psionics'!N122="", "", 'Magic &amp; Psionics'!N122)</f>
        <v/>
      </c>
      <c r="O122" s="1265"/>
      <c r="P122" s="1265"/>
      <c r="Q122" s="1266"/>
    </row>
    <row r="123" spans="1:17" ht="12.75" customHeight="1" x14ac:dyDescent="0.25"/>
    <row r="124" spans="1:17" ht="12.75" customHeight="1" x14ac:dyDescent="0.25"/>
    <row r="125" spans="1:17" ht="12.75" customHeight="1" x14ac:dyDescent="0.25"/>
    <row r="126" spans="1:17" ht="12.75" customHeight="1" x14ac:dyDescent="0.25"/>
    <row r="127" spans="1:17" ht="12.75" customHeight="1" x14ac:dyDescent="0.25"/>
    <row r="128" spans="1:17" ht="12.75" customHeight="1" x14ac:dyDescent="0.25"/>
    <row r="129" ht="12.75" customHeight="1" x14ac:dyDescent="0.25"/>
  </sheetData>
  <sheetProtection algorithmName="SHA-512" hashValue="0aNuf5juN4h5Z68mKhi7Iu6go7VnI45p6ZlL+M3827j+nw+yvFGh9V61z2dfF+jIyR88ekzaF2AchHg3yibnlg==" saltValue="N9HbhMyddG4/07MV/zCdFQ==" spinCount="100000" sheet="1" objects="1" scenarios="1" selectLockedCells="1" selectUnlockedCells="1"/>
  <mergeCells count="555">
    <mergeCell ref="B122:E122"/>
    <mergeCell ref="H122:K122"/>
    <mergeCell ref="N122:Q122"/>
    <mergeCell ref="A121:B121"/>
    <mergeCell ref="C121:E121"/>
    <mergeCell ref="G121:H121"/>
    <mergeCell ref="I121:K121"/>
    <mergeCell ref="M121:N121"/>
    <mergeCell ref="O121:Q121"/>
    <mergeCell ref="A120:B120"/>
    <mergeCell ref="C120:E120"/>
    <mergeCell ref="G120:H120"/>
    <mergeCell ref="I120:K120"/>
    <mergeCell ref="M120:N120"/>
    <mergeCell ref="O120:Q120"/>
    <mergeCell ref="A119:B119"/>
    <mergeCell ref="C119:E119"/>
    <mergeCell ref="G119:H119"/>
    <mergeCell ref="I119:K119"/>
    <mergeCell ref="M119:N119"/>
    <mergeCell ref="O119:Q119"/>
    <mergeCell ref="A118:B118"/>
    <mergeCell ref="C118:E118"/>
    <mergeCell ref="G118:H118"/>
    <mergeCell ref="I118:K118"/>
    <mergeCell ref="M118:N118"/>
    <mergeCell ref="O118:Q118"/>
    <mergeCell ref="A117:B117"/>
    <mergeCell ref="C117:E117"/>
    <mergeCell ref="G117:H117"/>
    <mergeCell ref="I117:K117"/>
    <mergeCell ref="M117:N117"/>
    <mergeCell ref="O117:Q117"/>
    <mergeCell ref="B114:E114"/>
    <mergeCell ref="H114:K114"/>
    <mergeCell ref="N114:Q114"/>
    <mergeCell ref="A116:B116"/>
    <mergeCell ref="C116:E116"/>
    <mergeCell ref="G116:H116"/>
    <mergeCell ref="I116:K116"/>
    <mergeCell ref="M116:N116"/>
    <mergeCell ref="O116:Q116"/>
    <mergeCell ref="A113:B113"/>
    <mergeCell ref="C113:E113"/>
    <mergeCell ref="G113:H113"/>
    <mergeCell ref="I113:K113"/>
    <mergeCell ref="M113:N113"/>
    <mergeCell ref="O113:Q113"/>
    <mergeCell ref="A112:B112"/>
    <mergeCell ref="C112:E112"/>
    <mergeCell ref="G112:H112"/>
    <mergeCell ref="I112:K112"/>
    <mergeCell ref="M112:N112"/>
    <mergeCell ref="O112:Q112"/>
    <mergeCell ref="A111:B111"/>
    <mergeCell ref="C111:E111"/>
    <mergeCell ref="G111:H111"/>
    <mergeCell ref="I111:K111"/>
    <mergeCell ref="M111:N111"/>
    <mergeCell ref="O111:Q111"/>
    <mergeCell ref="A110:B110"/>
    <mergeCell ref="C110:E110"/>
    <mergeCell ref="G110:H110"/>
    <mergeCell ref="I110:K110"/>
    <mergeCell ref="M110:N110"/>
    <mergeCell ref="O110:Q110"/>
    <mergeCell ref="A109:B109"/>
    <mergeCell ref="C109:E109"/>
    <mergeCell ref="G109:H109"/>
    <mergeCell ref="I109:K109"/>
    <mergeCell ref="M109:N109"/>
    <mergeCell ref="O109:Q109"/>
    <mergeCell ref="B106:E106"/>
    <mergeCell ref="H106:K106"/>
    <mergeCell ref="N106:Q106"/>
    <mergeCell ref="A108:B108"/>
    <mergeCell ref="C108:E108"/>
    <mergeCell ref="G108:H108"/>
    <mergeCell ref="I108:K108"/>
    <mergeCell ref="M108:N108"/>
    <mergeCell ref="O108:Q108"/>
    <mergeCell ref="A105:B105"/>
    <mergeCell ref="C105:E105"/>
    <mergeCell ref="G105:H105"/>
    <mergeCell ref="I105:K105"/>
    <mergeCell ref="M105:N105"/>
    <mergeCell ref="O105:Q105"/>
    <mergeCell ref="A104:B104"/>
    <mergeCell ref="C104:E104"/>
    <mergeCell ref="G104:H104"/>
    <mergeCell ref="I104:K104"/>
    <mergeCell ref="M104:N104"/>
    <mergeCell ref="O104:Q104"/>
    <mergeCell ref="A103:B103"/>
    <mergeCell ref="C103:E103"/>
    <mergeCell ref="G103:H103"/>
    <mergeCell ref="I103:K103"/>
    <mergeCell ref="M103:N103"/>
    <mergeCell ref="O103:Q103"/>
    <mergeCell ref="A102:B102"/>
    <mergeCell ref="C102:E102"/>
    <mergeCell ref="G102:H102"/>
    <mergeCell ref="I102:K102"/>
    <mergeCell ref="M102:N102"/>
    <mergeCell ref="O102:Q102"/>
    <mergeCell ref="A101:B101"/>
    <mergeCell ref="C101:E101"/>
    <mergeCell ref="G101:H101"/>
    <mergeCell ref="I101:K101"/>
    <mergeCell ref="M101:N101"/>
    <mergeCell ref="O101:Q101"/>
    <mergeCell ref="B98:E98"/>
    <mergeCell ref="H98:K98"/>
    <mergeCell ref="N98:Q98"/>
    <mergeCell ref="A100:B100"/>
    <mergeCell ref="C100:E100"/>
    <mergeCell ref="G100:H100"/>
    <mergeCell ref="I100:K100"/>
    <mergeCell ref="M100:N100"/>
    <mergeCell ref="O100:Q100"/>
    <mergeCell ref="A97:B97"/>
    <mergeCell ref="C97:E97"/>
    <mergeCell ref="G97:H97"/>
    <mergeCell ref="I97:K97"/>
    <mergeCell ref="M97:N97"/>
    <mergeCell ref="O97:Q97"/>
    <mergeCell ref="A96:B96"/>
    <mergeCell ref="C96:E96"/>
    <mergeCell ref="G96:H96"/>
    <mergeCell ref="I96:K96"/>
    <mergeCell ref="M96:N96"/>
    <mergeCell ref="O96:Q96"/>
    <mergeCell ref="A95:B95"/>
    <mergeCell ref="C95:E95"/>
    <mergeCell ref="G95:H95"/>
    <mergeCell ref="I95:K95"/>
    <mergeCell ref="M95:N95"/>
    <mergeCell ref="O95:Q95"/>
    <mergeCell ref="A94:B94"/>
    <mergeCell ref="C94:E94"/>
    <mergeCell ref="G94:H94"/>
    <mergeCell ref="I94:K94"/>
    <mergeCell ref="M94:N94"/>
    <mergeCell ref="O94:Q94"/>
    <mergeCell ref="A93:B93"/>
    <mergeCell ref="C93:E93"/>
    <mergeCell ref="G93:H93"/>
    <mergeCell ref="I93:K93"/>
    <mergeCell ref="M93:N93"/>
    <mergeCell ref="O93:Q93"/>
    <mergeCell ref="B90:E90"/>
    <mergeCell ref="H90:K90"/>
    <mergeCell ref="N90:Q90"/>
    <mergeCell ref="A92:B92"/>
    <mergeCell ref="C92:E92"/>
    <mergeCell ref="G92:H92"/>
    <mergeCell ref="I92:K92"/>
    <mergeCell ref="M92:N92"/>
    <mergeCell ref="O92:Q92"/>
    <mergeCell ref="A89:B89"/>
    <mergeCell ref="C89:E89"/>
    <mergeCell ref="G89:H89"/>
    <mergeCell ref="I89:K89"/>
    <mergeCell ref="M89:N89"/>
    <mergeCell ref="O89:Q89"/>
    <mergeCell ref="A88:B88"/>
    <mergeCell ref="C88:E88"/>
    <mergeCell ref="G88:H88"/>
    <mergeCell ref="I88:K88"/>
    <mergeCell ref="M88:N88"/>
    <mergeCell ref="O88:Q88"/>
    <mergeCell ref="A87:B87"/>
    <mergeCell ref="C87:E87"/>
    <mergeCell ref="G87:H87"/>
    <mergeCell ref="I87:K87"/>
    <mergeCell ref="M87:N87"/>
    <mergeCell ref="O87:Q87"/>
    <mergeCell ref="A86:B86"/>
    <mergeCell ref="C86:E86"/>
    <mergeCell ref="G86:H86"/>
    <mergeCell ref="I86:K86"/>
    <mergeCell ref="M86:N86"/>
    <mergeCell ref="O86:Q86"/>
    <mergeCell ref="A85:B85"/>
    <mergeCell ref="C85:E85"/>
    <mergeCell ref="G85:H85"/>
    <mergeCell ref="I85:K85"/>
    <mergeCell ref="M85:N85"/>
    <mergeCell ref="O85:Q85"/>
    <mergeCell ref="B82:E82"/>
    <mergeCell ref="H82:K82"/>
    <mergeCell ref="N82:Q82"/>
    <mergeCell ref="A84:B84"/>
    <mergeCell ref="C84:E84"/>
    <mergeCell ref="G84:H84"/>
    <mergeCell ref="I84:K84"/>
    <mergeCell ref="M84:N84"/>
    <mergeCell ref="O84:Q84"/>
    <mergeCell ref="A81:B81"/>
    <mergeCell ref="C81:E81"/>
    <mergeCell ref="G81:H81"/>
    <mergeCell ref="I81:K81"/>
    <mergeCell ref="M81:N81"/>
    <mergeCell ref="O81:Q81"/>
    <mergeCell ref="A80:B80"/>
    <mergeCell ref="C80:E80"/>
    <mergeCell ref="G80:H80"/>
    <mergeCell ref="I80:K80"/>
    <mergeCell ref="M80:N80"/>
    <mergeCell ref="O80:Q80"/>
    <mergeCell ref="A79:B79"/>
    <mergeCell ref="C79:E79"/>
    <mergeCell ref="G79:H79"/>
    <mergeCell ref="I79:K79"/>
    <mergeCell ref="M79:N79"/>
    <mergeCell ref="O79:Q79"/>
    <mergeCell ref="A78:B78"/>
    <mergeCell ref="C78:E78"/>
    <mergeCell ref="G78:H78"/>
    <mergeCell ref="I78:K78"/>
    <mergeCell ref="M78:N78"/>
    <mergeCell ref="O78:Q78"/>
    <mergeCell ref="A77:B77"/>
    <mergeCell ref="C77:E77"/>
    <mergeCell ref="G77:H77"/>
    <mergeCell ref="I77:K77"/>
    <mergeCell ref="M77:N77"/>
    <mergeCell ref="O77:Q77"/>
    <mergeCell ref="B74:E74"/>
    <mergeCell ref="H74:K74"/>
    <mergeCell ref="N74:Q74"/>
    <mergeCell ref="A76:B76"/>
    <mergeCell ref="C76:E76"/>
    <mergeCell ref="G76:H76"/>
    <mergeCell ref="I76:K76"/>
    <mergeCell ref="M76:N76"/>
    <mergeCell ref="O76:Q76"/>
    <mergeCell ref="A73:B73"/>
    <mergeCell ref="C73:E73"/>
    <mergeCell ref="G73:H73"/>
    <mergeCell ref="I73:K73"/>
    <mergeCell ref="M73:N73"/>
    <mergeCell ref="O73:Q73"/>
    <mergeCell ref="A72:B72"/>
    <mergeCell ref="C72:E72"/>
    <mergeCell ref="G72:H72"/>
    <mergeCell ref="I72:K72"/>
    <mergeCell ref="M72:N72"/>
    <mergeCell ref="O72:Q72"/>
    <mergeCell ref="A71:B71"/>
    <mergeCell ref="C71:E71"/>
    <mergeCell ref="G71:H71"/>
    <mergeCell ref="I71:K71"/>
    <mergeCell ref="M71:N71"/>
    <mergeCell ref="O71:Q71"/>
    <mergeCell ref="A70:B70"/>
    <mergeCell ref="C70:E70"/>
    <mergeCell ref="G70:H70"/>
    <mergeCell ref="I70:K70"/>
    <mergeCell ref="M70:N70"/>
    <mergeCell ref="O70:Q70"/>
    <mergeCell ref="O68:Q68"/>
    <mergeCell ref="A69:B69"/>
    <mergeCell ref="C69:E69"/>
    <mergeCell ref="G69:H69"/>
    <mergeCell ref="I69:K69"/>
    <mergeCell ref="M69:N69"/>
    <mergeCell ref="O69:Q69"/>
    <mergeCell ref="B62:E62"/>
    <mergeCell ref="H62:K62"/>
    <mergeCell ref="N62:Q62"/>
    <mergeCell ref="A64:Q64"/>
    <mergeCell ref="A66:Q66"/>
    <mergeCell ref="A68:B68"/>
    <mergeCell ref="C68:E68"/>
    <mergeCell ref="G68:H68"/>
    <mergeCell ref="I68:K68"/>
    <mergeCell ref="M68:N68"/>
    <mergeCell ref="A61:B61"/>
    <mergeCell ref="C61:E61"/>
    <mergeCell ref="G61:H61"/>
    <mergeCell ref="I61:K61"/>
    <mergeCell ref="M61:N61"/>
    <mergeCell ref="O61:Q61"/>
    <mergeCell ref="A60:B60"/>
    <mergeCell ref="C60:E60"/>
    <mergeCell ref="G60:H60"/>
    <mergeCell ref="I60:K60"/>
    <mergeCell ref="M60:N60"/>
    <mergeCell ref="O60:Q60"/>
    <mergeCell ref="A59:B59"/>
    <mergeCell ref="C59:E59"/>
    <mergeCell ref="G59:H59"/>
    <mergeCell ref="I59:K59"/>
    <mergeCell ref="M59:N59"/>
    <mergeCell ref="O59:Q59"/>
    <mergeCell ref="A58:B58"/>
    <mergeCell ref="C58:E58"/>
    <mergeCell ref="G58:H58"/>
    <mergeCell ref="I58:K58"/>
    <mergeCell ref="M58:N58"/>
    <mergeCell ref="O58:Q58"/>
    <mergeCell ref="A57:B57"/>
    <mergeCell ref="C57:E57"/>
    <mergeCell ref="G57:H57"/>
    <mergeCell ref="I57:K57"/>
    <mergeCell ref="M57:N57"/>
    <mergeCell ref="O57:Q57"/>
    <mergeCell ref="B54:E54"/>
    <mergeCell ref="H54:K54"/>
    <mergeCell ref="N54:Q54"/>
    <mergeCell ref="A56:B56"/>
    <mergeCell ref="C56:E56"/>
    <mergeCell ref="G56:H56"/>
    <mergeCell ref="I56:K56"/>
    <mergeCell ref="M56:N56"/>
    <mergeCell ref="O56:Q56"/>
    <mergeCell ref="A53:B53"/>
    <mergeCell ref="C53:E53"/>
    <mergeCell ref="G53:H53"/>
    <mergeCell ref="I53:K53"/>
    <mergeCell ref="M53:N53"/>
    <mergeCell ref="O53:Q53"/>
    <mergeCell ref="A52:B52"/>
    <mergeCell ref="C52:E52"/>
    <mergeCell ref="G52:H52"/>
    <mergeCell ref="I52:K52"/>
    <mergeCell ref="M52:N52"/>
    <mergeCell ref="O52:Q52"/>
    <mergeCell ref="A51:B51"/>
    <mergeCell ref="C51:E51"/>
    <mergeCell ref="G51:H51"/>
    <mergeCell ref="I51:K51"/>
    <mergeCell ref="M51:N51"/>
    <mergeCell ref="O51:Q51"/>
    <mergeCell ref="A50:B50"/>
    <mergeCell ref="C50:E50"/>
    <mergeCell ref="G50:H50"/>
    <mergeCell ref="I50:K50"/>
    <mergeCell ref="M50:N50"/>
    <mergeCell ref="O50:Q50"/>
    <mergeCell ref="A49:B49"/>
    <mergeCell ref="C49:E49"/>
    <mergeCell ref="G49:H49"/>
    <mergeCell ref="I49:K49"/>
    <mergeCell ref="M49:N49"/>
    <mergeCell ref="O49:Q49"/>
    <mergeCell ref="B46:E46"/>
    <mergeCell ref="H46:K46"/>
    <mergeCell ref="N46:Q46"/>
    <mergeCell ref="A48:B48"/>
    <mergeCell ref="C48:E48"/>
    <mergeCell ref="G48:H48"/>
    <mergeCell ref="I48:K48"/>
    <mergeCell ref="M48:N48"/>
    <mergeCell ref="O48:Q48"/>
    <mergeCell ref="A45:B45"/>
    <mergeCell ref="C45:E45"/>
    <mergeCell ref="G45:H45"/>
    <mergeCell ref="I45:K45"/>
    <mergeCell ref="M45:N45"/>
    <mergeCell ref="O45:Q45"/>
    <mergeCell ref="A44:B44"/>
    <mergeCell ref="C44:E44"/>
    <mergeCell ref="G44:H44"/>
    <mergeCell ref="I44:K44"/>
    <mergeCell ref="M44:N44"/>
    <mergeCell ref="O44:Q44"/>
    <mergeCell ref="A43:B43"/>
    <mergeCell ref="C43:E43"/>
    <mergeCell ref="G43:H43"/>
    <mergeCell ref="I43:K43"/>
    <mergeCell ref="M43:N43"/>
    <mergeCell ref="O43:Q43"/>
    <mergeCell ref="A42:B42"/>
    <mergeCell ref="C42:E42"/>
    <mergeCell ref="G42:H42"/>
    <mergeCell ref="I42:K42"/>
    <mergeCell ref="M42:N42"/>
    <mergeCell ref="O42:Q42"/>
    <mergeCell ref="A41:B41"/>
    <mergeCell ref="C41:E41"/>
    <mergeCell ref="G41:H41"/>
    <mergeCell ref="I41:K41"/>
    <mergeCell ref="M41:N41"/>
    <mergeCell ref="O41:Q41"/>
    <mergeCell ref="B38:E38"/>
    <mergeCell ref="H38:K38"/>
    <mergeCell ref="N38:Q38"/>
    <mergeCell ref="A40:B40"/>
    <mergeCell ref="C40:E40"/>
    <mergeCell ref="G40:H40"/>
    <mergeCell ref="I40:K40"/>
    <mergeCell ref="M40:N40"/>
    <mergeCell ref="O40:Q40"/>
    <mergeCell ref="A37:B37"/>
    <mergeCell ref="C37:E37"/>
    <mergeCell ref="G37:H37"/>
    <mergeCell ref="I37:K37"/>
    <mergeCell ref="M37:N37"/>
    <mergeCell ref="O37:Q37"/>
    <mergeCell ref="A36:B36"/>
    <mergeCell ref="C36:E36"/>
    <mergeCell ref="G36:H36"/>
    <mergeCell ref="I36:K36"/>
    <mergeCell ref="M36:N36"/>
    <mergeCell ref="O36:Q36"/>
    <mergeCell ref="A35:B35"/>
    <mergeCell ref="C35:E35"/>
    <mergeCell ref="G35:H35"/>
    <mergeCell ref="I35:K35"/>
    <mergeCell ref="M35:N35"/>
    <mergeCell ref="O35:Q35"/>
    <mergeCell ref="A34:B34"/>
    <mergeCell ref="C34:E34"/>
    <mergeCell ref="G34:H34"/>
    <mergeCell ref="I34:K34"/>
    <mergeCell ref="M34:N34"/>
    <mergeCell ref="O34:Q34"/>
    <mergeCell ref="A33:B33"/>
    <mergeCell ref="C33:E33"/>
    <mergeCell ref="G33:H33"/>
    <mergeCell ref="I33:K33"/>
    <mergeCell ref="M33:N33"/>
    <mergeCell ref="O33:Q33"/>
    <mergeCell ref="B30:E30"/>
    <mergeCell ref="H30:K30"/>
    <mergeCell ref="N30:Q30"/>
    <mergeCell ref="A32:B32"/>
    <mergeCell ref="C32:E32"/>
    <mergeCell ref="G32:H32"/>
    <mergeCell ref="I32:K32"/>
    <mergeCell ref="M32:N32"/>
    <mergeCell ref="O32:Q32"/>
    <mergeCell ref="A29:B29"/>
    <mergeCell ref="C29:E29"/>
    <mergeCell ref="G29:H29"/>
    <mergeCell ref="I29:K29"/>
    <mergeCell ref="M29:N29"/>
    <mergeCell ref="O29:Q29"/>
    <mergeCell ref="A28:B28"/>
    <mergeCell ref="C28:E28"/>
    <mergeCell ref="G28:H28"/>
    <mergeCell ref="I28:K28"/>
    <mergeCell ref="M28:N28"/>
    <mergeCell ref="O28:Q28"/>
    <mergeCell ref="A27:B27"/>
    <mergeCell ref="C27:E27"/>
    <mergeCell ref="G27:H27"/>
    <mergeCell ref="I27:K27"/>
    <mergeCell ref="M27:N27"/>
    <mergeCell ref="O27:Q27"/>
    <mergeCell ref="A26:B26"/>
    <mergeCell ref="C26:E26"/>
    <mergeCell ref="G26:H26"/>
    <mergeCell ref="I26:K26"/>
    <mergeCell ref="M26:N26"/>
    <mergeCell ref="O26:Q26"/>
    <mergeCell ref="A25:B25"/>
    <mergeCell ref="C25:E25"/>
    <mergeCell ref="G25:H25"/>
    <mergeCell ref="I25:K25"/>
    <mergeCell ref="M25:N25"/>
    <mergeCell ref="O25:Q25"/>
    <mergeCell ref="B22:E22"/>
    <mergeCell ref="H22:K22"/>
    <mergeCell ref="N22:Q22"/>
    <mergeCell ref="A24:B24"/>
    <mergeCell ref="C24:E24"/>
    <mergeCell ref="G24:H24"/>
    <mergeCell ref="I24:K24"/>
    <mergeCell ref="M24:N24"/>
    <mergeCell ref="O24:Q24"/>
    <mergeCell ref="A21:B21"/>
    <mergeCell ref="C21:E21"/>
    <mergeCell ref="G21:H21"/>
    <mergeCell ref="I21:K21"/>
    <mergeCell ref="M21:N21"/>
    <mergeCell ref="O21:Q21"/>
    <mergeCell ref="A20:B20"/>
    <mergeCell ref="C20:E20"/>
    <mergeCell ref="G20:H20"/>
    <mergeCell ref="I20:K20"/>
    <mergeCell ref="M20:N20"/>
    <mergeCell ref="O20:Q20"/>
    <mergeCell ref="A19:B19"/>
    <mergeCell ref="C19:E19"/>
    <mergeCell ref="G19:H19"/>
    <mergeCell ref="I19:K19"/>
    <mergeCell ref="M19:N19"/>
    <mergeCell ref="O19:Q19"/>
    <mergeCell ref="A18:B18"/>
    <mergeCell ref="C18:E18"/>
    <mergeCell ref="G18:H18"/>
    <mergeCell ref="I18:K18"/>
    <mergeCell ref="M18:N18"/>
    <mergeCell ref="O18:Q18"/>
    <mergeCell ref="A17:B17"/>
    <mergeCell ref="C17:E17"/>
    <mergeCell ref="G17:H17"/>
    <mergeCell ref="I17:K17"/>
    <mergeCell ref="M17:N17"/>
    <mergeCell ref="O17:Q17"/>
    <mergeCell ref="B14:E14"/>
    <mergeCell ref="H14:K14"/>
    <mergeCell ref="N14:Q14"/>
    <mergeCell ref="A16:B16"/>
    <mergeCell ref="C16:E16"/>
    <mergeCell ref="G16:H16"/>
    <mergeCell ref="I16:K16"/>
    <mergeCell ref="M16:N16"/>
    <mergeCell ref="O16:Q16"/>
    <mergeCell ref="A13:B13"/>
    <mergeCell ref="C13:E13"/>
    <mergeCell ref="G13:H13"/>
    <mergeCell ref="I13:K13"/>
    <mergeCell ref="M13:N13"/>
    <mergeCell ref="O13:Q13"/>
    <mergeCell ref="A12:B12"/>
    <mergeCell ref="C12:E12"/>
    <mergeCell ref="G12:H12"/>
    <mergeCell ref="I12:K12"/>
    <mergeCell ref="M12:N12"/>
    <mergeCell ref="O12:Q12"/>
    <mergeCell ref="A11:B11"/>
    <mergeCell ref="C11:E11"/>
    <mergeCell ref="G11:H11"/>
    <mergeCell ref="I11:K11"/>
    <mergeCell ref="M11:N11"/>
    <mergeCell ref="O11:Q11"/>
    <mergeCell ref="A10:B10"/>
    <mergeCell ref="C10:E10"/>
    <mergeCell ref="G10:H10"/>
    <mergeCell ref="I10:K10"/>
    <mergeCell ref="M10:N10"/>
    <mergeCell ref="O10:Q10"/>
    <mergeCell ref="A1:Q1"/>
    <mergeCell ref="A3:H3"/>
    <mergeCell ref="J3:Q3"/>
    <mergeCell ref="E4:G4"/>
    <mergeCell ref="K4:L4"/>
    <mergeCell ref="O4:P4"/>
    <mergeCell ref="A9:B9"/>
    <mergeCell ref="C9:E9"/>
    <mergeCell ref="G9:H9"/>
    <mergeCell ref="I9:K9"/>
    <mergeCell ref="M9:N9"/>
    <mergeCell ref="O9:Q9"/>
    <mergeCell ref="A6:Q6"/>
    <mergeCell ref="A8:B8"/>
    <mergeCell ref="C8:E8"/>
    <mergeCell ref="G8:H8"/>
    <mergeCell ref="I8:K8"/>
    <mergeCell ref="M8:N8"/>
    <mergeCell ref="O8:Q8"/>
  </mergeCells>
  <pageMargins left="0.7" right="0.7" top="0.75" bottom="0.75" header="0.3" footer="0.3"/>
  <pageSetup orientation="portrait" horizontalDpi="4294967293" verticalDpi="0" r:id="rId1"/>
  <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7598B4-C0F3-480E-8392-FC42B32F58B7}">
  <sheetPr>
    <tabColor theme="0"/>
  </sheetPr>
  <dimension ref="A1:W78"/>
  <sheetViews>
    <sheetView showGridLines="0" zoomScaleNormal="100" workbookViewId="0">
      <selection activeCell="E5" sqref="E5"/>
    </sheetView>
  </sheetViews>
  <sheetFormatPr defaultRowHeight="15" x14ac:dyDescent="0.25"/>
  <cols>
    <col min="1" max="2" width="3.42578125" style="543" customWidth="1"/>
    <col min="3" max="4" width="3" style="543" customWidth="1"/>
    <col min="5" max="8" width="6" style="543" customWidth="1"/>
    <col min="9" max="9" width="0.7109375" style="543" customWidth="1"/>
    <col min="10" max="13" width="3" style="543" customWidth="1"/>
    <col min="14" max="14" width="0.7109375" style="543" customWidth="1"/>
    <col min="15" max="15" width="5.28515625" style="543" customWidth="1"/>
    <col min="16" max="16" width="2.140625" style="543" customWidth="1"/>
    <col min="17" max="17" width="7.85546875" style="543" customWidth="1"/>
    <col min="18" max="22" width="6" style="543" customWidth="1"/>
    <col min="23" max="16384" width="9.140625" style="543"/>
  </cols>
  <sheetData>
    <row r="1" spans="1:21" ht="18.75" customHeight="1" thickBot="1" x14ac:dyDescent="0.3">
      <c r="A1" s="1314" t="s">
        <v>1</v>
      </c>
      <c r="B1" s="1315"/>
      <c r="C1" s="1315"/>
      <c r="D1" s="1315"/>
      <c r="E1" s="1315"/>
      <c r="F1" s="1315"/>
      <c r="G1" s="1315"/>
      <c r="H1" s="1315"/>
      <c r="I1" s="1315"/>
      <c r="J1" s="1315"/>
      <c r="K1" s="1315"/>
      <c r="L1" s="1315"/>
      <c r="M1" s="1315"/>
      <c r="N1" s="1315"/>
      <c r="O1" s="1315"/>
      <c r="P1" s="1315"/>
      <c r="Q1" s="1315"/>
      <c r="R1" s="1315"/>
      <c r="S1" s="1315"/>
      <c r="T1" s="1315"/>
      <c r="U1" s="1316"/>
    </row>
    <row r="2" spans="1:21" ht="3.75" customHeight="1" thickBot="1" x14ac:dyDescent="0.3">
      <c r="A2" s="1317"/>
      <c r="B2" s="1317"/>
      <c r="C2" s="1317"/>
      <c r="D2" s="1317"/>
      <c r="E2" s="1317"/>
      <c r="F2" s="1317"/>
      <c r="G2" s="1317"/>
      <c r="H2" s="1317"/>
      <c r="I2" s="1317"/>
      <c r="J2" s="1317"/>
      <c r="K2" s="1317"/>
      <c r="L2" s="1317"/>
      <c r="M2" s="1317"/>
      <c r="N2" s="1317"/>
      <c r="O2" s="1317"/>
      <c r="P2" s="1317"/>
      <c r="Q2" s="1317"/>
      <c r="R2" s="1317"/>
      <c r="S2" s="1317"/>
      <c r="T2" s="1317"/>
      <c r="U2" s="1317"/>
    </row>
    <row r="3" spans="1:21" ht="12.75" customHeight="1" thickBot="1" x14ac:dyDescent="0.3">
      <c r="A3" s="1318" t="s">
        <v>73</v>
      </c>
      <c r="B3" s="1319"/>
      <c r="C3" s="1319"/>
      <c r="D3" s="1319"/>
      <c r="E3" s="1319"/>
      <c r="F3" s="1319" t="s">
        <v>72</v>
      </c>
      <c r="G3" s="1319"/>
      <c r="H3" s="1320"/>
      <c r="I3" s="1321"/>
      <c r="J3" s="1299" t="s">
        <v>246</v>
      </c>
      <c r="K3" s="1300"/>
      <c r="L3" s="1300"/>
      <c r="M3" s="1300"/>
      <c r="N3" s="1300"/>
      <c r="O3" s="1300"/>
      <c r="P3" s="1300"/>
      <c r="Q3" s="1300"/>
      <c r="R3" s="1300"/>
      <c r="S3" s="1300"/>
      <c r="T3" s="1300"/>
      <c r="U3" s="1301"/>
    </row>
    <row r="4" spans="1:21" ht="12.75" customHeight="1" x14ac:dyDescent="0.25">
      <c r="A4" s="1322" t="s">
        <v>163</v>
      </c>
      <c r="B4" s="1323"/>
      <c r="C4" s="1323"/>
      <c r="D4" s="1323"/>
      <c r="E4" s="513">
        <f>total_sdc</f>
        <v>0</v>
      </c>
      <c r="F4" s="1323" t="s">
        <v>163</v>
      </c>
      <c r="G4" s="1323"/>
      <c r="H4" s="514">
        <f>total_hp</f>
        <v>0</v>
      </c>
      <c r="I4" s="1321"/>
      <c r="J4" s="1324" t="s">
        <v>245</v>
      </c>
      <c r="K4" s="1325"/>
      <c r="L4" s="1325"/>
      <c r="M4" s="1325"/>
      <c r="N4" s="1325"/>
      <c r="O4" s="1325"/>
      <c r="P4" s="1325"/>
      <c r="Q4" s="1326"/>
      <c r="R4" s="1330" t="s">
        <v>264</v>
      </c>
      <c r="S4" s="1323"/>
      <c r="T4" s="1330" t="s">
        <v>265</v>
      </c>
      <c r="U4" s="1332"/>
    </row>
    <row r="5" spans="1:21" ht="12.75" customHeight="1" x14ac:dyDescent="0.25">
      <c r="A5" s="1335" t="s">
        <v>259</v>
      </c>
      <c r="B5" s="1331"/>
      <c r="C5" s="1331"/>
      <c r="D5" s="1331"/>
      <c r="E5" s="515" t="str">
        <f>IF('Combat Sheet'!E5="", "", 'Combat Sheet'!E5)</f>
        <v/>
      </c>
      <c r="F5" s="1331" t="s">
        <v>262</v>
      </c>
      <c r="G5" s="1331"/>
      <c r="H5" s="515" t="str">
        <f>IF('Combat Sheet'!H5="", "", 'Combat Sheet'!H5)</f>
        <v/>
      </c>
      <c r="I5" s="1321"/>
      <c r="J5" s="1327"/>
      <c r="K5" s="1328"/>
      <c r="L5" s="1328"/>
      <c r="M5" s="1328"/>
      <c r="N5" s="1328"/>
      <c r="O5" s="1328"/>
      <c r="P5" s="1328"/>
      <c r="Q5" s="1329"/>
      <c r="R5" s="1331"/>
      <c r="S5" s="1331"/>
      <c r="T5" s="1333"/>
      <c r="U5" s="1334"/>
    </row>
    <row r="6" spans="1:21" ht="12.75" customHeight="1" thickBot="1" x14ac:dyDescent="0.3">
      <c r="A6" s="1336" t="s">
        <v>174</v>
      </c>
      <c r="B6" s="1337"/>
      <c r="C6" s="1337"/>
      <c r="D6" s="1337"/>
      <c r="E6" s="516" t="str">
        <f>IF(E5="", "", E4-E5)</f>
        <v/>
      </c>
      <c r="F6" s="1337" t="s">
        <v>174</v>
      </c>
      <c r="G6" s="1337"/>
      <c r="H6" s="516" t="str">
        <f>IF('Combat Sheet'!H6=0, "", 'Combat Sheet'!H6)</f>
        <v/>
      </c>
      <c r="I6" s="1321"/>
      <c r="J6" s="1338"/>
      <c r="K6" s="1339"/>
      <c r="L6" s="1304" t="s">
        <v>243</v>
      </c>
      <c r="M6" s="1304"/>
      <c r="N6" s="1304"/>
      <c r="O6" s="1304"/>
      <c r="P6" s="1304"/>
      <c r="Q6" s="1304"/>
      <c r="R6" s="1305" t="str">
        <f>IF(Combat!V5=TRUE, Combat!W5, "")</f>
        <v>1D4+0</v>
      </c>
      <c r="S6" s="1305"/>
      <c r="T6" s="1305" t="str">
        <f>IF(Combat!V5=TRUE, Combat!X5, "")</f>
        <v>2D4+0</v>
      </c>
      <c r="U6" s="1306"/>
    </row>
    <row r="7" spans="1:21" ht="12.75" customHeight="1" thickBot="1" x14ac:dyDescent="0.3">
      <c r="A7" s="1299" t="s">
        <v>261</v>
      </c>
      <c r="B7" s="1300"/>
      <c r="C7" s="1300"/>
      <c r="D7" s="1300"/>
      <c r="E7" s="1300"/>
      <c r="F7" s="1300"/>
      <c r="G7" s="1300"/>
      <c r="H7" s="1301"/>
      <c r="I7" s="1321"/>
      <c r="J7" s="1302"/>
      <c r="K7" s="1303"/>
      <c r="L7" s="1304" t="s">
        <v>192</v>
      </c>
      <c r="M7" s="1304"/>
      <c r="N7" s="1304"/>
      <c r="O7" s="1304"/>
      <c r="P7" s="1304"/>
      <c r="Q7" s="1304"/>
      <c r="R7" s="1305" t="str">
        <f>IF(Combat!V6=TRUE, Combat!W6, "")</f>
        <v/>
      </c>
      <c r="S7" s="1305"/>
      <c r="T7" s="1305" t="str">
        <f>IF(Combat!V6=TRUE, Combat!X6, "")</f>
        <v/>
      </c>
      <c r="U7" s="1306"/>
    </row>
    <row r="8" spans="1:21" ht="12.75" customHeight="1" thickBot="1" x14ac:dyDescent="0.3">
      <c r="A8" s="1312" t="s">
        <v>146</v>
      </c>
      <c r="B8" s="1313"/>
      <c r="C8" s="1313"/>
      <c r="D8" s="1313"/>
      <c r="E8" s="517" t="str">
        <f>IF(hf="", "", hf)</f>
        <v/>
      </c>
      <c r="F8" s="1313" t="s">
        <v>258</v>
      </c>
      <c r="G8" s="1313"/>
      <c r="H8" s="518" t="str">
        <f>IF(nar="", "", nar)</f>
        <v/>
      </c>
      <c r="I8" s="1321"/>
      <c r="J8" s="1302"/>
      <c r="K8" s="1303"/>
      <c r="L8" s="1304" t="s">
        <v>241</v>
      </c>
      <c r="M8" s="1304"/>
      <c r="N8" s="1304"/>
      <c r="O8" s="1304"/>
      <c r="P8" s="1304"/>
      <c r="Q8" s="1304"/>
      <c r="R8" s="1305" t="str">
        <f>IF(Combat!V7=TRUE, Combat!W7, "")</f>
        <v/>
      </c>
      <c r="S8" s="1305"/>
      <c r="T8" s="1305" t="str">
        <f>IF(Combat!V7=TRUE, Combat!X7, "")</f>
        <v/>
      </c>
      <c r="U8" s="1306"/>
    </row>
    <row r="9" spans="1:21" ht="12.75" customHeight="1" thickBot="1" x14ac:dyDescent="0.3">
      <c r="A9" s="1318" t="s">
        <v>113</v>
      </c>
      <c r="B9" s="1319"/>
      <c r="C9" s="1319"/>
      <c r="D9" s="1319"/>
      <c r="E9" s="1319"/>
      <c r="F9" s="1319"/>
      <c r="G9" s="1319"/>
      <c r="H9" s="1320"/>
      <c r="I9" s="1321"/>
      <c r="J9" s="1302"/>
      <c r="K9" s="1303"/>
      <c r="L9" s="1304" t="s">
        <v>193</v>
      </c>
      <c r="M9" s="1304"/>
      <c r="N9" s="1304"/>
      <c r="O9" s="1304"/>
      <c r="P9" s="1304"/>
      <c r="Q9" s="1304"/>
      <c r="R9" s="1305" t="str">
        <f>IF(Combat!V8=TRUE, Combat!W8, "")</f>
        <v/>
      </c>
      <c r="S9" s="1305"/>
      <c r="T9" s="1305" t="str">
        <f>IF(Combat!V8=TRUE, Combat!X8, "")</f>
        <v/>
      </c>
      <c r="U9" s="1306"/>
    </row>
    <row r="10" spans="1:21" ht="12.75" customHeight="1" thickBot="1" x14ac:dyDescent="0.3">
      <c r="A10" s="1307" t="s">
        <v>71</v>
      </c>
      <c r="B10" s="1308"/>
      <c r="C10" s="1308"/>
      <c r="D10" s="1308"/>
      <c r="E10" s="1309" t="str">
        <f>IF(hth="", "None", hth)</f>
        <v>None</v>
      </c>
      <c r="F10" s="1310"/>
      <c r="G10" s="1310"/>
      <c r="H10" s="1311"/>
      <c r="I10" s="1321"/>
      <c r="J10" s="1302"/>
      <c r="K10" s="1303"/>
      <c r="L10" s="1304" t="s">
        <v>194</v>
      </c>
      <c r="M10" s="1304"/>
      <c r="N10" s="1304"/>
      <c r="O10" s="1304"/>
      <c r="P10" s="1304"/>
      <c r="Q10" s="1304"/>
      <c r="R10" s="1305" t="str">
        <f>IF(Combat!V9=TRUE, Combat!W9, "")</f>
        <v/>
      </c>
      <c r="S10" s="1305"/>
      <c r="T10" s="1305" t="str">
        <f>IF(Combat!V9=TRUE, Combat!X9, "")</f>
        <v/>
      </c>
      <c r="U10" s="1306"/>
    </row>
    <row r="11" spans="1:21" ht="12.75" customHeight="1" x14ac:dyDescent="0.25">
      <c r="A11" s="1343" t="s">
        <v>70</v>
      </c>
      <c r="B11" s="1344"/>
      <c r="C11" s="1344"/>
      <c r="D11" s="1344"/>
      <c r="E11" s="1345"/>
      <c r="F11" s="1346" t="s">
        <v>235</v>
      </c>
      <c r="G11" s="1344"/>
      <c r="H11" s="1345"/>
      <c r="I11" s="1321"/>
      <c r="J11" s="1302"/>
      <c r="K11" s="1303"/>
      <c r="L11" s="1304" t="s">
        <v>244</v>
      </c>
      <c r="M11" s="1304"/>
      <c r="N11" s="1304"/>
      <c r="O11" s="1304"/>
      <c r="P11" s="1304"/>
      <c r="Q11" s="1304"/>
      <c r="R11" s="1305" t="str">
        <f>IF(Combat!V10=TRUE, Combat!W10, "")</f>
        <v/>
      </c>
      <c r="S11" s="1305"/>
      <c r="T11" s="1305" t="str">
        <f>IF(Combat!V10=TRUE, Combat!X10, "")</f>
        <v/>
      </c>
      <c r="U11" s="1306"/>
    </row>
    <row r="12" spans="1:21" ht="12.75" customHeight="1" x14ac:dyDescent="0.25">
      <c r="A12" s="1340" t="s">
        <v>102</v>
      </c>
      <c r="B12" s="1341"/>
      <c r="C12" s="1341"/>
      <c r="D12" s="1341"/>
      <c r="E12" s="519">
        <f>total_attacks</f>
        <v>1</v>
      </c>
      <c r="F12" s="1342" t="s">
        <v>58</v>
      </c>
      <c r="G12" s="1341"/>
      <c r="H12" s="519">
        <f>save_coma</f>
        <v>0</v>
      </c>
      <c r="I12" s="1321"/>
      <c r="J12" s="1302"/>
      <c r="K12" s="1303"/>
      <c r="L12" s="1304" t="s">
        <v>204</v>
      </c>
      <c r="M12" s="1304"/>
      <c r="N12" s="1304"/>
      <c r="O12" s="1304"/>
      <c r="P12" s="1304"/>
      <c r="Q12" s="1304"/>
      <c r="R12" s="1305" t="str">
        <f>IF(Combat!V11=TRUE, Combat!W11, "")</f>
        <v/>
      </c>
      <c r="S12" s="1305"/>
      <c r="T12" s="1305" t="str">
        <f>IF(Combat!V11=TRUE, Combat!X11, "")</f>
        <v/>
      </c>
      <c r="U12" s="1306"/>
    </row>
    <row r="13" spans="1:21" ht="12.75" customHeight="1" x14ac:dyDescent="0.25">
      <c r="A13" s="1340" t="s">
        <v>74</v>
      </c>
      <c r="B13" s="1341"/>
      <c r="C13" s="1341"/>
      <c r="D13" s="1341"/>
      <c r="E13" s="519">
        <f>total_initiative</f>
        <v>0</v>
      </c>
      <c r="F13" s="1342" t="s">
        <v>144</v>
      </c>
      <c r="G13" s="1341"/>
      <c r="H13" s="519">
        <f>save_poison</f>
        <v>0</v>
      </c>
      <c r="I13" s="1321"/>
      <c r="J13" s="1302"/>
      <c r="K13" s="1303"/>
      <c r="L13" s="1304" t="s">
        <v>205</v>
      </c>
      <c r="M13" s="1304"/>
      <c r="N13" s="1304"/>
      <c r="O13" s="1304"/>
      <c r="P13" s="1304"/>
      <c r="Q13" s="1304"/>
      <c r="R13" s="1305" t="str">
        <f>IF(Combat!V12=TRUE, Combat!W12, "")</f>
        <v/>
      </c>
      <c r="S13" s="1305"/>
      <c r="T13" s="1305" t="str">
        <f>IF(Combat!V12=TRUE, Combat!X12, "")</f>
        <v/>
      </c>
      <c r="U13" s="1306"/>
    </row>
    <row r="14" spans="1:21" ht="12.75" customHeight="1" x14ac:dyDescent="0.25">
      <c r="A14" s="1340" t="s">
        <v>75</v>
      </c>
      <c r="B14" s="1341"/>
      <c r="C14" s="1341"/>
      <c r="D14" s="1341"/>
      <c r="E14" s="519">
        <f>total_strike</f>
        <v>0</v>
      </c>
      <c r="F14" s="1342" t="s">
        <v>146</v>
      </c>
      <c r="G14" s="1341"/>
      <c r="H14" s="519">
        <f>save_hf</f>
        <v>0</v>
      </c>
      <c r="I14" s="1321"/>
      <c r="J14" s="1302"/>
      <c r="K14" s="1303"/>
      <c r="L14" s="1304" t="s">
        <v>195</v>
      </c>
      <c r="M14" s="1304"/>
      <c r="N14" s="1304"/>
      <c r="O14" s="1304"/>
      <c r="P14" s="1304"/>
      <c r="Q14" s="1304"/>
      <c r="R14" s="1305" t="str">
        <f>IF(Combat!V13=TRUE, Combat!W13, "")</f>
        <v/>
      </c>
      <c r="S14" s="1305"/>
      <c r="T14" s="1305" t="str">
        <f>IF(Combat!V13=TRUE, Combat!X13, "")</f>
        <v/>
      </c>
      <c r="U14" s="1306"/>
    </row>
    <row r="15" spans="1:21" ht="12.75" customHeight="1" x14ac:dyDescent="0.25">
      <c r="A15" s="1340" t="s">
        <v>76</v>
      </c>
      <c r="B15" s="1341"/>
      <c r="C15" s="1341"/>
      <c r="D15" s="1341"/>
      <c r="E15" s="519">
        <f>total_parry</f>
        <v>0</v>
      </c>
      <c r="F15" s="1342" t="s">
        <v>248</v>
      </c>
      <c r="G15" s="1341"/>
      <c r="H15" s="519">
        <f>save_element</f>
        <v>0</v>
      </c>
      <c r="I15" s="1321"/>
      <c r="J15" s="1302"/>
      <c r="K15" s="1303"/>
      <c r="L15" s="1304" t="s">
        <v>197</v>
      </c>
      <c r="M15" s="1304"/>
      <c r="N15" s="1304"/>
      <c r="O15" s="1304"/>
      <c r="P15" s="1304"/>
      <c r="Q15" s="1304"/>
      <c r="R15" s="1305" t="str">
        <f>IF(Combat!V14=TRUE, Combat!W14, "")</f>
        <v/>
      </c>
      <c r="S15" s="1305"/>
      <c r="T15" s="1305" t="str">
        <f>IF(Combat!V14=TRUE, Combat!X14, "")</f>
        <v/>
      </c>
      <c r="U15" s="1306"/>
    </row>
    <row r="16" spans="1:21" ht="12.75" customHeight="1" x14ac:dyDescent="0.25">
      <c r="A16" s="1340" t="s">
        <v>77</v>
      </c>
      <c r="B16" s="1341"/>
      <c r="C16" s="1341"/>
      <c r="D16" s="1341"/>
      <c r="E16" s="519">
        <f>total_dodge</f>
        <v>0</v>
      </c>
      <c r="F16" s="1342" t="s">
        <v>62</v>
      </c>
      <c r="G16" s="1341"/>
      <c r="H16" s="519">
        <f>save_psi</f>
        <v>0</v>
      </c>
      <c r="I16" s="1321"/>
      <c r="J16" s="1302"/>
      <c r="K16" s="1303"/>
      <c r="L16" s="1304" t="s">
        <v>198</v>
      </c>
      <c r="M16" s="1304"/>
      <c r="N16" s="1304"/>
      <c r="O16" s="1304"/>
      <c r="P16" s="1304"/>
      <c r="Q16" s="1304"/>
      <c r="R16" s="1305" t="str">
        <f>IF(Combat!V15=TRUE, Combat!W15, "")</f>
        <v/>
      </c>
      <c r="S16" s="1305"/>
      <c r="T16" s="1305" t="str">
        <f>IF(Combat!V15=TRUE, Combat!X15, "")</f>
        <v/>
      </c>
      <c r="U16" s="1306"/>
    </row>
    <row r="17" spans="1:23" ht="12.75" customHeight="1" x14ac:dyDescent="0.25">
      <c r="A17" s="1340" t="s">
        <v>78</v>
      </c>
      <c r="B17" s="1341"/>
      <c r="C17" s="1341"/>
      <c r="D17" s="1341"/>
      <c r="E17" s="519">
        <f>total_roll</f>
        <v>0</v>
      </c>
      <c r="F17" s="1342" t="s">
        <v>63</v>
      </c>
      <c r="G17" s="1341"/>
      <c r="H17" s="519">
        <f>save_magic</f>
        <v>0</v>
      </c>
      <c r="I17" s="1321"/>
      <c r="J17" s="1302"/>
      <c r="K17" s="1303"/>
      <c r="L17" s="1304" t="s">
        <v>201</v>
      </c>
      <c r="M17" s="1304"/>
      <c r="N17" s="1304"/>
      <c r="O17" s="1304"/>
      <c r="P17" s="1304"/>
      <c r="Q17" s="1304"/>
      <c r="R17" s="1305" t="str">
        <f>IF(Combat!V16=TRUE, Combat!W16, "")</f>
        <v/>
      </c>
      <c r="S17" s="1305"/>
      <c r="T17" s="1305" t="str">
        <f>IF(Combat!V16=TRUE, Combat!X16, "")</f>
        <v/>
      </c>
      <c r="U17" s="1306"/>
    </row>
    <row r="18" spans="1:23" ht="12.75" customHeight="1" x14ac:dyDescent="0.25">
      <c r="A18" s="1340" t="s">
        <v>79</v>
      </c>
      <c r="B18" s="1341"/>
      <c r="C18" s="1341"/>
      <c r="D18" s="1341"/>
      <c r="E18" s="519">
        <f>total_pull</f>
        <v>0</v>
      </c>
      <c r="F18" s="1342" t="s">
        <v>247</v>
      </c>
      <c r="G18" s="1341"/>
      <c r="H18" s="519">
        <f>save_faerie</f>
        <v>0</v>
      </c>
      <c r="I18" s="1321"/>
      <c r="J18" s="1302"/>
      <c r="K18" s="1303"/>
      <c r="L18" s="1304" t="s">
        <v>202</v>
      </c>
      <c r="M18" s="1304"/>
      <c r="N18" s="1304"/>
      <c r="O18" s="1304"/>
      <c r="P18" s="1304"/>
      <c r="Q18" s="1304"/>
      <c r="R18" s="1305" t="str">
        <f>IF(Combat!V17=TRUE, Combat!W17, "")</f>
        <v/>
      </c>
      <c r="S18" s="1305"/>
      <c r="T18" s="1305" t="str">
        <f>IF(Combat!V17=TRUE, Combat!X17, "")</f>
        <v/>
      </c>
      <c r="U18" s="1306"/>
    </row>
    <row r="19" spans="1:23" ht="12.75" customHeight="1" x14ac:dyDescent="0.25">
      <c r="A19" s="1340" t="s">
        <v>80</v>
      </c>
      <c r="B19" s="1341"/>
      <c r="C19" s="1341"/>
      <c r="D19" s="1341"/>
      <c r="E19" s="519">
        <f>total_damage</f>
        <v>0</v>
      </c>
      <c r="F19" s="1342" t="s">
        <v>61</v>
      </c>
      <c r="G19" s="1341"/>
      <c r="H19" s="519">
        <f>save_possess</f>
        <v>0</v>
      </c>
      <c r="I19" s="1321"/>
      <c r="J19" s="1302"/>
      <c r="K19" s="1303"/>
      <c r="L19" s="1304" t="s">
        <v>196</v>
      </c>
      <c r="M19" s="1304"/>
      <c r="N19" s="1304"/>
      <c r="O19" s="1304"/>
      <c r="P19" s="1304"/>
      <c r="Q19" s="1304"/>
      <c r="R19" s="1305" t="str">
        <f>IF(Combat!V18=TRUE, Combat!W18, "")</f>
        <v/>
      </c>
      <c r="S19" s="1305"/>
      <c r="T19" s="1305" t="s">
        <v>105</v>
      </c>
      <c r="U19" s="1306"/>
    </row>
    <row r="20" spans="1:23" ht="12.75" customHeight="1" x14ac:dyDescent="0.25">
      <c r="A20" s="1340" t="s">
        <v>81</v>
      </c>
      <c r="B20" s="1341"/>
      <c r="C20" s="1341"/>
      <c r="D20" s="1341"/>
      <c r="E20" s="519">
        <f>crit</f>
        <v>20</v>
      </c>
      <c r="F20" s="1342" t="s">
        <v>66</v>
      </c>
      <c r="G20" s="1341"/>
      <c r="H20" s="519">
        <f>save_insane</f>
        <v>0</v>
      </c>
      <c r="I20" s="1321"/>
      <c r="J20" s="1302"/>
      <c r="K20" s="1303"/>
      <c r="L20" s="1304" t="s">
        <v>216</v>
      </c>
      <c r="M20" s="1304"/>
      <c r="N20" s="1304"/>
      <c r="O20" s="1304"/>
      <c r="P20" s="1304"/>
      <c r="Q20" s="1304"/>
      <c r="R20" s="1305" t="str">
        <f>IF(Combat!V19=TRUE, Combat!W19, "")</f>
        <v/>
      </c>
      <c r="S20" s="1305"/>
      <c r="T20" s="1305" t="s">
        <v>105</v>
      </c>
      <c r="U20" s="1306"/>
    </row>
    <row r="21" spans="1:23" ht="12.75" customHeight="1" x14ac:dyDescent="0.25">
      <c r="A21" s="1340" t="s">
        <v>82</v>
      </c>
      <c r="B21" s="1341"/>
      <c r="C21" s="1341"/>
      <c r="D21" s="1341"/>
      <c r="E21" s="519" t="str">
        <f>IF(ko="", "", ko)</f>
        <v/>
      </c>
      <c r="F21" s="1342" t="s">
        <v>145</v>
      </c>
      <c r="G21" s="1341"/>
      <c r="H21" s="519">
        <f>save_disease</f>
        <v>0</v>
      </c>
      <c r="I21" s="1321"/>
      <c r="J21" s="1302"/>
      <c r="K21" s="1303"/>
      <c r="L21" s="1304" t="s">
        <v>203</v>
      </c>
      <c r="M21" s="1304"/>
      <c r="N21" s="1304"/>
      <c r="O21" s="1304"/>
      <c r="P21" s="1304"/>
      <c r="Q21" s="1304"/>
      <c r="R21" s="1305" t="str">
        <f>IF(Combat!V20=TRUE, Combat!W20, "")</f>
        <v/>
      </c>
      <c r="S21" s="1305"/>
      <c r="T21" s="1305" t="s">
        <v>105</v>
      </c>
      <c r="U21" s="1306"/>
    </row>
    <row r="22" spans="1:23" ht="12.75" customHeight="1" x14ac:dyDescent="0.25">
      <c r="A22" s="1340" t="s">
        <v>83</v>
      </c>
      <c r="B22" s="1341"/>
      <c r="C22" s="1341"/>
      <c r="D22" s="1341"/>
      <c r="E22" s="519" t="str">
        <f>IF(db="", "", db)</f>
        <v/>
      </c>
      <c r="F22" s="1342" t="s">
        <v>249</v>
      </c>
      <c r="G22" s="1341"/>
      <c r="H22" s="519">
        <f>save_illusion</f>
        <v>0</v>
      </c>
      <c r="I22" s="1321"/>
      <c r="J22" s="1302"/>
      <c r="K22" s="1303"/>
      <c r="L22" s="1304" t="s">
        <v>213</v>
      </c>
      <c r="M22" s="1304"/>
      <c r="N22" s="1304"/>
      <c r="O22" s="1304"/>
      <c r="P22" s="1304"/>
      <c r="Q22" s="1304"/>
      <c r="R22" s="1305" t="str">
        <f>IF(Combat!V21=TRUE, Combat!W21, "")</f>
        <v/>
      </c>
      <c r="S22" s="1305"/>
      <c r="T22" s="1305" t="s">
        <v>105</v>
      </c>
      <c r="U22" s="1306"/>
    </row>
    <row r="23" spans="1:23" ht="12.75" customHeight="1" thickBot="1" x14ac:dyDescent="0.3">
      <c r="A23" s="1354" t="s">
        <v>677</v>
      </c>
      <c r="B23" s="1355"/>
      <c r="C23" s="1355"/>
      <c r="D23" s="1355"/>
      <c r="E23" s="520" t="str">
        <f>IF(VLOOKUP(hand_to_hand&amp;" "&amp;calc_lev, hth_bonus, 13, FALSE)=0, "", (VLOOKUP(hand_to_hand&amp;" "&amp;calc_lev, hth_bonus, 13, FALSE)))</f>
        <v/>
      </c>
      <c r="F23" s="1356" t="s">
        <v>250</v>
      </c>
      <c r="G23" s="1357"/>
      <c r="H23" s="521">
        <f>save_control</f>
        <v>0</v>
      </c>
      <c r="I23" s="1321"/>
      <c r="J23" s="1358"/>
      <c r="K23" s="1359"/>
      <c r="L23" s="1360" t="s">
        <v>242</v>
      </c>
      <c r="M23" s="1360"/>
      <c r="N23" s="1360"/>
      <c r="O23" s="1360"/>
      <c r="P23" s="1360"/>
      <c r="Q23" s="1360"/>
      <c r="R23" s="1361" t="str">
        <f>IF(Combat!V22=TRUE, Combat!W22, "")</f>
        <v/>
      </c>
      <c r="S23" s="1361"/>
      <c r="T23" s="1361" t="s">
        <v>105</v>
      </c>
      <c r="U23" s="1362"/>
    </row>
    <row r="24" spans="1:23" ht="3.75" customHeight="1" thickBot="1" x14ac:dyDescent="0.3">
      <c r="A24" s="1347"/>
      <c r="B24" s="1347"/>
      <c r="C24" s="1347"/>
      <c r="D24" s="1347"/>
      <c r="E24" s="1347"/>
      <c r="F24" s="1347"/>
      <c r="G24" s="1347"/>
      <c r="H24" s="1347"/>
      <c r="I24" s="1347"/>
      <c r="J24" s="1347"/>
      <c r="K24" s="1347"/>
      <c r="L24" s="1347"/>
      <c r="M24" s="1347"/>
      <c r="N24" s="1347"/>
      <c r="O24" s="1347"/>
      <c r="P24" s="1347"/>
      <c r="Q24" s="1347"/>
      <c r="R24" s="1347"/>
      <c r="S24" s="1347"/>
      <c r="T24" s="1347"/>
      <c r="U24" s="1347"/>
    </row>
    <row r="25" spans="1:23" ht="12.75" customHeight="1" thickBot="1" x14ac:dyDescent="0.3">
      <c r="A25" s="1348" t="s">
        <v>233</v>
      </c>
      <c r="B25" s="1349"/>
      <c r="C25" s="1349"/>
      <c r="D25" s="1349"/>
      <c r="E25" s="1349"/>
      <c r="F25" s="1349"/>
      <c r="G25" s="1349"/>
      <c r="H25" s="1349"/>
      <c r="I25" s="1349"/>
      <c r="J25" s="1349"/>
      <c r="K25" s="1349"/>
      <c r="L25" s="1349"/>
      <c r="M25" s="1349"/>
      <c r="N25" s="1349"/>
      <c r="O25" s="1349"/>
      <c r="P25" s="1349"/>
      <c r="Q25" s="1349"/>
      <c r="R25" s="1349"/>
      <c r="S25" s="1349"/>
      <c r="T25" s="1349"/>
      <c r="U25" s="1350"/>
    </row>
    <row r="26" spans="1:23" ht="12.75" customHeight="1" x14ac:dyDescent="0.25">
      <c r="A26" s="1351" t="str">
        <f>IF('Combat Sheet'!A26="", "", 'Combat Sheet'!A26)</f>
        <v/>
      </c>
      <c r="B26" s="1352"/>
      <c r="C26" s="1352"/>
      <c r="D26" s="1352"/>
      <c r="E26" s="1352"/>
      <c r="F26" s="1352"/>
      <c r="G26" s="1352"/>
      <c r="H26" s="522" t="s">
        <v>75</v>
      </c>
      <c r="I26" s="1352" t="str">
        <f>IF(A26="", "", IF(COUNTIF(skill_select, A26)=0, "", IF(INDEX(wp_strike, MATCH(A26, strike_col, 0), MATCH(calc_lev-(VLOOKUP(A26, wp_search, 10, FALSE))+1, strike_row, 0))=0, "", (INDEX(wp_strike, MATCH(A26, strike_col, 0), MATCH(calc_lev-(VLOOKUP(A26, wp_search, 10, FALSE))+1, strike_row, 0))))))</f>
        <v/>
      </c>
      <c r="J26" s="1352"/>
      <c r="K26" s="1352"/>
      <c r="L26" s="1353" t="s">
        <v>76</v>
      </c>
      <c r="M26" s="1353"/>
      <c r="N26" s="1352" t="str">
        <f>IF(A26="", "", IF(COUNTIF(skill_select, A26)=0, "", IF(INDEX(wp_parry, MATCH(A26, parry_col, 0), MATCH(calc_lev-(VLOOKUP(A26, wp_search, 10, FALSE))+1, parry_row, 0))=0, "", INDEX(wp_parry, MATCH(A26, parry_col, 0), MATCH(calc_lev-(VLOOKUP(A26, wp_search, 10, FALSE))+1, parry_row, 0)))))</f>
        <v/>
      </c>
      <c r="O26" s="1352"/>
      <c r="P26" s="1352"/>
      <c r="Q26" s="605" t="str">
        <f>IF(A26="", "", IF(COUNTIF(skill_select, A26)=0, "", IF(VLOOKUP(A26, special_search, 2, FALSE)="", "", (VLOOKUP(A26, special_search, 2, FALSE)))))</f>
        <v/>
      </c>
      <c r="R26" s="604" t="str">
        <f>IF(A26="", "", IF(COUNTIF(skill_select, A26)=0, "", IF(INDEX(wp_special, MATCH(A26, special_col, 0), MATCH(calc_lev-(VLOOKUP(A26, wp_search, 10, FALSE))+1, special_row, 0))="", "", INDEX(wp_special, MATCH(A26, special_col, 0), MATCH(calc_lev-(VLOOKUP(A26, wp_search, 10, FALSE))+1, special_row, 0)))))</f>
        <v/>
      </c>
      <c r="S26" s="1353" t="str">
        <f>IF(A26="", "", IF(COUNTIF(skill_select, A26)=0, "", IF(VLOOKUP(A26, feature_search, 2, FALSE)="", "", (VLOOKUP(A26, feature_search, 2, FALSE)))))</f>
        <v/>
      </c>
      <c r="T26" s="1353"/>
      <c r="U26" s="608" t="str">
        <f>IF(A26="", "", IF(COUNTIF(skill_select, A26)=0, "", IF(INDEX(wp_features, MATCH(A26, feature_col, 0), MATCH(calc_lev-(VLOOKUP(A26, wp_search, 10, FALSE))+1, feature_row, 0))="", "", INDEX(wp_features, MATCH(A26, feature_col, 0), MATCH(calc_lev-(VLOOKUP(A26, wp_search, 10, FALSE))+1, feature_row, 0)))))</f>
        <v/>
      </c>
    </row>
    <row r="27" spans="1:23" ht="12.75" customHeight="1" x14ac:dyDescent="0.25">
      <c r="A27" s="1363" t="str">
        <f>IF('Combat Sheet'!A27="", "", 'Combat Sheet'!A27)</f>
        <v/>
      </c>
      <c r="B27" s="1304"/>
      <c r="C27" s="1304"/>
      <c r="D27" s="1304"/>
      <c r="E27" s="1304"/>
      <c r="F27" s="1304"/>
      <c r="G27" s="1304"/>
      <c r="H27" s="523" t="s">
        <v>75</v>
      </c>
      <c r="I27" s="1304" t="str">
        <f>IF(A27="", "", IF(COUNTIF(skill_select, A27)=0, "", IF(INDEX(wp_strike, MATCH(A27, strike_col, 0), MATCH(calc_lev-(VLOOKUP(A27, wp_search, 10, FALSE))+1, strike_row, 0))=0, "", (INDEX(wp_strike, MATCH(A27, strike_col, 0), MATCH(calc_lev-(VLOOKUP(A27, wp_search, 10, FALSE))+1, strike_row, 0))))))</f>
        <v/>
      </c>
      <c r="J27" s="1304"/>
      <c r="K27" s="1304"/>
      <c r="L27" s="1341" t="s">
        <v>76</v>
      </c>
      <c r="M27" s="1341"/>
      <c r="N27" s="1304" t="str">
        <f>IF(A27="", "", IF(COUNTIF(skill_select, A27)=0, "", IF(INDEX(wp_parry, MATCH(A27, parry_col, 0), MATCH(calc_lev-(VLOOKUP(A27, wp_search, 10, FALSE))+1, parry_row, 0))=0, "", INDEX(wp_parry, MATCH(A27, parry_col, 0), MATCH(calc_lev-(VLOOKUP(A27, wp_search, 10, FALSE))+1, parry_row, 0)))))</f>
        <v/>
      </c>
      <c r="O27" s="1304"/>
      <c r="P27" s="1304"/>
      <c r="Q27" s="603" t="str">
        <f>IF(A27="", "", IF(COUNTIF(skill_select, A27)=0, "", IF(VLOOKUP(A27, special_search, 2, FALSE)="", "", (VLOOKUP(A27, special_search, 2, FALSE)))))</f>
        <v/>
      </c>
      <c r="R27" s="602" t="str">
        <f>IF(A27="", "", IF(COUNTIF(skill_select, A27)=0, "", IF(INDEX(wp_special, MATCH(A27, special_col, 0), MATCH(calc_lev-(VLOOKUP(A27, wp_search, 10, FALSE))+1, special_row, 0))="", "", INDEX(wp_special, MATCH(A27, special_col, 0), MATCH(calc_lev-(VLOOKUP(A27, wp_search, 10, FALSE))+1, special_row, 0)))))</f>
        <v/>
      </c>
      <c r="S27" s="1341" t="str">
        <f>IF(A27="", "", IF(COUNTIF(skill_select, A27)=0, "", IF(VLOOKUP(A27, feature_search, 2, FALSE)="", "", (VLOOKUP(A27, feature_search, 2, FALSE)))))</f>
        <v/>
      </c>
      <c r="T27" s="1341"/>
      <c r="U27" s="519" t="str">
        <f>IF(A27="", "", IF(COUNTIF(skill_select, A27)=0, "", IF(INDEX(wp_features, MATCH(A27, feature_col, 0), MATCH(calc_lev-(VLOOKUP(A27, wp_search, 10, FALSE))+1, feature_row, 0))="", "", INDEX(wp_features, MATCH(A27, feature_col, 0), MATCH(calc_lev-(VLOOKUP(A27, wp_search, 10, FALSE))+1, feature_row, 0)))))</f>
        <v/>
      </c>
    </row>
    <row r="28" spans="1:23" ht="12.75" customHeight="1" x14ac:dyDescent="0.25">
      <c r="A28" s="1363" t="str">
        <f>IF('Combat Sheet'!A28="", "", 'Combat Sheet'!A28)</f>
        <v/>
      </c>
      <c r="B28" s="1304"/>
      <c r="C28" s="1304"/>
      <c r="D28" s="1304"/>
      <c r="E28" s="1304"/>
      <c r="F28" s="1304"/>
      <c r="G28" s="1304"/>
      <c r="H28" s="523" t="s">
        <v>75</v>
      </c>
      <c r="I28" s="1304" t="str">
        <f>IF(A28="", "", IF(COUNTIF(skill_select, A28)=0, "", IF(INDEX(wp_strike, MATCH(A28, strike_col, 0), MATCH(calc_lev-(VLOOKUP(A28, wp_search, 10, FALSE))+1, strike_row, 0))=0, "", (INDEX(wp_strike, MATCH(A28, strike_col, 0), MATCH(calc_lev-(VLOOKUP(A28, wp_search, 10, FALSE))+1, strike_row, 0))))))</f>
        <v/>
      </c>
      <c r="J28" s="1304"/>
      <c r="K28" s="1304"/>
      <c r="L28" s="1341" t="s">
        <v>76</v>
      </c>
      <c r="M28" s="1341"/>
      <c r="N28" s="1304" t="str">
        <f>IF(A28="", "", IF(COUNTIF(skill_select, A28)=0, "", IF(INDEX(wp_parry, MATCH(A28, parry_col, 0), MATCH(calc_lev-(VLOOKUP(A28, wp_search, 10, FALSE))+1, parry_row, 0))=0, "", INDEX(wp_parry, MATCH(A28, parry_col, 0), MATCH(calc_lev-(VLOOKUP(A28, wp_search, 10, FALSE))+1, parry_row, 0)))))</f>
        <v/>
      </c>
      <c r="O28" s="1304"/>
      <c r="P28" s="1304"/>
      <c r="Q28" s="603" t="str">
        <f>IF(A28="", "", IF(COUNTIF(skill_select, A28)=0, "", IF(VLOOKUP(A28, special_search, 2, FALSE)="", "", (VLOOKUP(A28, special_search, 2, FALSE)))))</f>
        <v/>
      </c>
      <c r="R28" s="602" t="str">
        <f>IF(A28="", "", IF(COUNTIF(skill_select, A28)=0, "", IF(INDEX(wp_special, MATCH(A28, special_col, 0), MATCH(calc_lev-(VLOOKUP(A28, wp_search, 10, FALSE))+1, special_row, 0))="", "", INDEX(wp_special, MATCH(A28, special_col, 0), MATCH(calc_lev-(VLOOKUP(A28, wp_search, 10, FALSE))+1, special_row, 0)))))</f>
        <v/>
      </c>
      <c r="S28" s="1341" t="str">
        <f>IF(A28="", "", IF(COUNTIF(skill_select, A28)=0, "", IF(VLOOKUP(A28, feature_search, 2, FALSE)="", "", (VLOOKUP(A28, feature_search, 2, FALSE)))))</f>
        <v/>
      </c>
      <c r="T28" s="1341"/>
      <c r="U28" s="519" t="str">
        <f>IF(A28="", "", IF(COUNTIF(skill_select, A28)=0, "", IF(INDEX(wp_features, MATCH(A28, feature_col, 0), MATCH(calc_lev-(VLOOKUP(A28, wp_search, 10, FALSE))+1, feature_row, 0))="", "", INDEX(wp_features, MATCH(A28, feature_col, 0), MATCH(calc_lev-(VLOOKUP(A28, wp_search, 10, FALSE))+1, feature_row, 0)))))</f>
        <v/>
      </c>
    </row>
    <row r="29" spans="1:23" ht="12.75" customHeight="1" x14ac:dyDescent="0.25">
      <c r="A29" s="1363" t="str">
        <f>IF('Combat Sheet'!A29="", "", 'Combat Sheet'!A29)</f>
        <v/>
      </c>
      <c r="B29" s="1304"/>
      <c r="C29" s="1304"/>
      <c r="D29" s="1304"/>
      <c r="E29" s="1304"/>
      <c r="F29" s="1304"/>
      <c r="G29" s="1304"/>
      <c r="H29" s="523" t="s">
        <v>75</v>
      </c>
      <c r="I29" s="1304" t="str">
        <f>IF(A29="", "", IF(COUNTIF(skill_select, A29)=0, "", IF(INDEX(wp_strike, MATCH(A29, strike_col, 0), MATCH(calc_lev-(VLOOKUP(A29, wp_search, 10, FALSE))+1, strike_row, 0))=0, "", (INDEX(wp_strike, MATCH(A29, strike_col, 0), MATCH(calc_lev-(VLOOKUP(A29, wp_search, 10, FALSE))+1, strike_row, 0))))))</f>
        <v/>
      </c>
      <c r="J29" s="1304"/>
      <c r="K29" s="1304"/>
      <c r="L29" s="1341" t="s">
        <v>76</v>
      </c>
      <c r="M29" s="1341"/>
      <c r="N29" s="1304" t="str">
        <f>IF(A29="", "", IF(COUNTIF(skill_select, A29)=0, "", IF(INDEX(wp_parry, MATCH(A29, parry_col, 0), MATCH(calc_lev-(VLOOKUP(A29, wp_search, 10, FALSE))+1, parry_row, 0))=0, "", INDEX(wp_parry, MATCH(A29, parry_col, 0), MATCH(calc_lev-(VLOOKUP(A29, wp_search, 10, FALSE))+1, parry_row, 0)))))</f>
        <v/>
      </c>
      <c r="O29" s="1304"/>
      <c r="P29" s="1304"/>
      <c r="Q29" s="603" t="str">
        <f>IF(A29="", "", IF(COUNTIF(skill_select, A29)=0, "", IF(VLOOKUP(A29, special_search, 2, FALSE)="", "", (VLOOKUP(A29, special_search, 2, FALSE)))))</f>
        <v/>
      </c>
      <c r="R29" s="602" t="str">
        <f>IF(A29="", "", IF(COUNTIF(skill_select, A29)=0, "", IF(INDEX(wp_special, MATCH(A29, special_col, 0), MATCH(calc_lev-(VLOOKUP(A29, wp_search, 10, FALSE))+1, special_row, 0))="", "", INDEX(wp_special, MATCH(A29, special_col, 0), MATCH(calc_lev-(VLOOKUP(A29, wp_search, 10, FALSE))+1, special_row, 0)))))</f>
        <v/>
      </c>
      <c r="S29" s="1341" t="str">
        <f>IF(A29="", "", IF(COUNTIF(skill_select, A29)=0, "", IF(VLOOKUP(A29, feature_search, 2, FALSE)="", "", (VLOOKUP(A29, feature_search, 2, FALSE)))))</f>
        <v/>
      </c>
      <c r="T29" s="1341"/>
      <c r="U29" s="519" t="str">
        <f>IF(A29="", "", IF(COUNTIF(skill_select, A29)=0, "", IF(INDEX(wp_features, MATCH(A29, feature_col, 0), MATCH(calc_lev-(VLOOKUP(A29, wp_search, 10, FALSE))+1, feature_row, 0))="", "", INDEX(wp_features, MATCH(A29, feature_col, 0), MATCH(calc_lev-(VLOOKUP(A29, wp_search, 10, FALSE))+1, feature_row, 0)))))</f>
        <v/>
      </c>
    </row>
    <row r="30" spans="1:23" ht="12.75" customHeight="1" thickBot="1" x14ac:dyDescent="0.3">
      <c r="A30" s="1364" t="str">
        <f>IF('Combat Sheet'!A30="", "", 'Combat Sheet'!A30)</f>
        <v/>
      </c>
      <c r="B30" s="1360"/>
      <c r="C30" s="1360"/>
      <c r="D30" s="1360"/>
      <c r="E30" s="1360"/>
      <c r="F30" s="1360"/>
      <c r="G30" s="1360"/>
      <c r="H30" s="524" t="s">
        <v>75</v>
      </c>
      <c r="I30" s="1360" t="str">
        <f>IF(A30="", "", IF(COUNTIF(skill_select, A30)=0, "", IF(INDEX(wp_strike, MATCH(A30, strike_col, 0), MATCH(calc_lev-(VLOOKUP(A30, wp_search, 10, FALSE))+1, strike_row, 0))=0, "", (INDEX(wp_strike, MATCH(A30, strike_col, 0), MATCH(calc_lev-(VLOOKUP(A30, wp_search, 10, FALSE))+1, strike_row, 0))))))</f>
        <v/>
      </c>
      <c r="J30" s="1360"/>
      <c r="K30" s="1360"/>
      <c r="L30" s="1355" t="s">
        <v>76</v>
      </c>
      <c r="M30" s="1355"/>
      <c r="N30" s="1360" t="str">
        <f>IF(A30="", "", IF(COUNTIF(skill_select, A30)=0, "", IF(INDEX(wp_parry, MATCH(A30, parry_col, 0), MATCH(calc_lev-(VLOOKUP(A30, wp_search, 10, FALSE))+1, parry_row, 0))=0, "", INDEX(wp_parry, MATCH(A30, parry_col, 0), MATCH(calc_lev-(VLOOKUP(A30, wp_search, 10, FALSE))+1, parry_row, 0)))))</f>
        <v/>
      </c>
      <c r="O30" s="1360"/>
      <c r="P30" s="1360"/>
      <c r="Q30" s="606" t="str">
        <f>IF(A30="", "", IF(COUNTIF(skill_select, A30)=0, "", IF(VLOOKUP(A30, special_search, 2, FALSE)="", "", (VLOOKUP(A30, special_search, 2, FALSE)))))</f>
        <v/>
      </c>
      <c r="R30" s="607" t="str">
        <f>IF(A30="", "", IF(COUNTIF(skill_select, A30)=0, "", IF(INDEX(wp_special, MATCH(A30, special_col, 0), MATCH(calc_lev-(VLOOKUP(A30, wp_search, 10, FALSE))+1, special_row, 0))="", "", INDEX(wp_special, MATCH(A30, special_col, 0), MATCH(calc_lev-(VLOOKUP(A30, wp_search, 10, FALSE))+1, special_row, 0)))))</f>
        <v/>
      </c>
      <c r="S30" s="1355" t="str">
        <f>IF(A30="", "", IF(COUNTIF(skill_select, A30)=0, "", IF(VLOOKUP(A30, feature_search, 2, FALSE)="", "", (VLOOKUP(A30, feature_search, 2, FALSE)))))</f>
        <v/>
      </c>
      <c r="T30" s="1355"/>
      <c r="U30" s="525" t="str">
        <f>IF(A30="", "", IF(COUNTIF(skill_select, A30)=0, "", IF(INDEX(wp_features, MATCH(A30, feature_col, 0), MATCH(calc_lev-(VLOOKUP(A30, wp_search, 10, FALSE))+1, feature_row, 0))="", "", INDEX(wp_features, MATCH(A30, feature_col, 0), MATCH(calc_lev-(VLOOKUP(A30, wp_search, 10, FALSE))+1, feature_row, 0)))))</f>
        <v/>
      </c>
    </row>
    <row r="31" spans="1:23" ht="3.75" customHeight="1" thickBot="1" x14ac:dyDescent="0.3">
      <c r="A31" s="1347"/>
      <c r="B31" s="1347"/>
      <c r="C31" s="1347"/>
      <c r="D31" s="1347"/>
      <c r="E31" s="1347"/>
      <c r="F31" s="1347"/>
      <c r="G31" s="1347"/>
      <c r="H31" s="1347"/>
      <c r="I31" s="1347"/>
      <c r="J31" s="1347"/>
      <c r="K31" s="1347"/>
      <c r="L31" s="1347"/>
      <c r="M31" s="1347"/>
      <c r="N31" s="1347"/>
      <c r="O31" s="1347"/>
      <c r="P31" s="1347"/>
      <c r="Q31" s="1347"/>
      <c r="R31" s="1347"/>
      <c r="S31" s="1347"/>
      <c r="T31" s="1347"/>
      <c r="U31" s="1347"/>
    </row>
    <row r="32" spans="1:23" ht="12.75" customHeight="1" thickBot="1" x14ac:dyDescent="0.3">
      <c r="A32" s="1318" t="s">
        <v>86</v>
      </c>
      <c r="B32" s="1319"/>
      <c r="C32" s="1319"/>
      <c r="D32" s="1319"/>
      <c r="E32" s="1319"/>
      <c r="F32" s="1319"/>
      <c r="G32" s="1319"/>
      <c r="H32" s="1319"/>
      <c r="I32" s="1319"/>
      <c r="J32" s="1319"/>
      <c r="K32" s="1319"/>
      <c r="L32" s="1319"/>
      <c r="M32" s="1319"/>
      <c r="N32" s="1319"/>
      <c r="O32" s="1319"/>
      <c r="P32" s="1319"/>
      <c r="Q32" s="1319"/>
      <c r="R32" s="1319"/>
      <c r="S32" s="1319"/>
      <c r="T32" s="1319"/>
      <c r="U32" s="1320"/>
      <c r="W32" s="544"/>
    </row>
    <row r="33" spans="1:23" ht="12.75" customHeight="1" x14ac:dyDescent="0.25">
      <c r="A33" s="526"/>
      <c r="B33" s="1371" t="s">
        <v>84</v>
      </c>
      <c r="C33" s="1346"/>
      <c r="D33" s="1352" t="str">
        <f>IF('Combat Sheet'!D33="", "", 'Combat Sheet'!D33)</f>
        <v/>
      </c>
      <c r="E33" s="1352"/>
      <c r="F33" s="1352"/>
      <c r="G33" s="522" t="s">
        <v>87</v>
      </c>
      <c r="H33" s="604" t="str">
        <f>IF('Combat Sheet'!H33="", "", 'Combat Sheet'!H33)</f>
        <v/>
      </c>
      <c r="I33" s="527" t="s">
        <v>73</v>
      </c>
      <c r="J33" s="528"/>
      <c r="K33" s="529"/>
      <c r="L33" s="1372" t="str">
        <f>IF('Combat Sheet'!L33="", "", 'Combat Sheet'!L33)</f>
        <v/>
      </c>
      <c r="M33" s="1373"/>
      <c r="N33" s="1353" t="s">
        <v>88</v>
      </c>
      <c r="O33" s="1353"/>
      <c r="P33" s="1353"/>
      <c r="Q33" s="1353"/>
      <c r="R33" s="1352" t="str">
        <f>IF('Combat Sheet'!R33="", "", 'Combat Sheet'!R33)</f>
        <v/>
      </c>
      <c r="S33" s="1352"/>
      <c r="T33" s="1352"/>
      <c r="U33" s="1374"/>
      <c r="W33" s="544"/>
    </row>
    <row r="34" spans="1:23" ht="12.75" customHeight="1" x14ac:dyDescent="0.25">
      <c r="A34" s="526"/>
      <c r="B34" s="1365" t="s">
        <v>251</v>
      </c>
      <c r="C34" s="1366"/>
      <c r="D34" s="1367"/>
      <c r="E34" s="1368" t="str">
        <f>IF('Combat Sheet'!E34="", "", 'Combat Sheet'!E34)</f>
        <v/>
      </c>
      <c r="F34" s="1369"/>
      <c r="G34" s="1369"/>
      <c r="H34" s="1369"/>
      <c r="I34" s="1369"/>
      <c r="J34" s="1369"/>
      <c r="K34" s="1369"/>
      <c r="L34" s="1369"/>
      <c r="M34" s="1369"/>
      <c r="N34" s="1369"/>
      <c r="O34" s="1369"/>
      <c r="P34" s="1369"/>
      <c r="Q34" s="1369"/>
      <c r="R34" s="1369"/>
      <c r="S34" s="1369"/>
      <c r="T34" s="1369"/>
      <c r="U34" s="1370"/>
      <c r="W34" s="544"/>
    </row>
    <row r="35" spans="1:23" ht="12.75" customHeight="1" x14ac:dyDescent="0.25">
      <c r="A35" s="526"/>
      <c r="B35" s="1365" t="s">
        <v>252</v>
      </c>
      <c r="C35" s="1366"/>
      <c r="D35" s="1367"/>
      <c r="E35" s="1368" t="str">
        <f>IF('Combat Sheet'!E35="", "", 'Combat Sheet'!E35)</f>
        <v/>
      </c>
      <c r="F35" s="1369"/>
      <c r="G35" s="1369"/>
      <c r="H35" s="1369"/>
      <c r="I35" s="1369"/>
      <c r="J35" s="1369"/>
      <c r="K35" s="1369"/>
      <c r="L35" s="1369"/>
      <c r="M35" s="1369"/>
      <c r="N35" s="1369"/>
      <c r="O35" s="1369"/>
      <c r="P35" s="1369"/>
      <c r="Q35" s="1369"/>
      <c r="R35" s="1369"/>
      <c r="S35" s="1369"/>
      <c r="T35" s="1369"/>
      <c r="U35" s="1370"/>
      <c r="W35" s="544"/>
    </row>
    <row r="36" spans="1:23" ht="12.75" customHeight="1" x14ac:dyDescent="0.25">
      <c r="A36" s="526"/>
      <c r="B36" s="1365" t="s">
        <v>253</v>
      </c>
      <c r="C36" s="1366"/>
      <c r="D36" s="1367"/>
      <c r="E36" s="1368" t="str">
        <f>IF('Combat Sheet'!E36="", "", 'Combat Sheet'!E36)</f>
        <v/>
      </c>
      <c r="F36" s="1369"/>
      <c r="G36" s="1369"/>
      <c r="H36" s="1369"/>
      <c r="I36" s="1369"/>
      <c r="J36" s="1369"/>
      <c r="K36" s="1369"/>
      <c r="L36" s="1369"/>
      <c r="M36" s="1369"/>
      <c r="N36" s="1369"/>
      <c r="O36" s="1369"/>
      <c r="P36" s="1369"/>
      <c r="Q36" s="1369"/>
      <c r="R36" s="1369"/>
      <c r="S36" s="1369"/>
      <c r="T36" s="1369"/>
      <c r="U36" s="1370"/>
      <c r="W36" s="544"/>
    </row>
    <row r="37" spans="1:23" ht="12.75" customHeight="1" thickBot="1" x14ac:dyDescent="0.3">
      <c r="A37" s="526"/>
      <c r="B37" s="1376" t="s">
        <v>256</v>
      </c>
      <c r="C37" s="1377"/>
      <c r="D37" s="1378"/>
      <c r="E37" s="1368" t="str">
        <f>IF('Combat Sheet'!E37="", "", 'Combat Sheet'!E37)</f>
        <v/>
      </c>
      <c r="F37" s="1369"/>
      <c r="G37" s="1369"/>
      <c r="H37" s="1369"/>
      <c r="I37" s="1369"/>
      <c r="J37" s="1369"/>
      <c r="K37" s="1369"/>
      <c r="L37" s="1369"/>
      <c r="M37" s="1369"/>
      <c r="N37" s="1369"/>
      <c r="O37" s="1369"/>
      <c r="P37" s="1369"/>
      <c r="Q37" s="1369"/>
      <c r="R37" s="1369"/>
      <c r="S37" s="1369"/>
      <c r="T37" s="1369"/>
      <c r="U37" s="1370"/>
      <c r="W37" s="544"/>
    </row>
    <row r="38" spans="1:23" ht="12.75" customHeight="1" thickBot="1" x14ac:dyDescent="0.3">
      <c r="A38" s="526"/>
      <c r="B38" s="1371" t="s">
        <v>84</v>
      </c>
      <c r="C38" s="1346"/>
      <c r="D38" s="1352" t="str">
        <f>IF('Combat Sheet'!D38="", "", 'Combat Sheet'!D38)</f>
        <v/>
      </c>
      <c r="E38" s="1352"/>
      <c r="F38" s="1352"/>
      <c r="G38" s="522" t="s">
        <v>87</v>
      </c>
      <c r="H38" s="604" t="str">
        <f>IF('Combat Sheet'!H38="", "", 'Combat Sheet'!H38)</f>
        <v/>
      </c>
      <c r="I38" s="527" t="s">
        <v>73</v>
      </c>
      <c r="J38" s="528"/>
      <c r="K38" s="529"/>
      <c r="L38" s="1372" t="str">
        <f>IF('Combat Sheet'!L38="", "", 'Combat Sheet'!L38)</f>
        <v/>
      </c>
      <c r="M38" s="1373"/>
      <c r="N38" s="1353" t="s">
        <v>88</v>
      </c>
      <c r="O38" s="1353"/>
      <c r="P38" s="1353"/>
      <c r="Q38" s="1353"/>
      <c r="R38" s="1352" t="str">
        <f>IF('Combat Sheet'!R38="", "", 'Combat Sheet'!R38)</f>
        <v/>
      </c>
      <c r="S38" s="1352"/>
      <c r="T38" s="1352"/>
      <c r="U38" s="1374"/>
      <c r="W38" s="544"/>
    </row>
    <row r="39" spans="1:23" ht="12.75" customHeight="1" thickBot="1" x14ac:dyDescent="0.3">
      <c r="A39" s="530"/>
      <c r="B39" s="1371" t="s">
        <v>84</v>
      </c>
      <c r="C39" s="1346"/>
      <c r="D39" s="1352" t="str">
        <f>IF('Combat Sheet'!D39="", "", 'Combat Sheet'!D39)</f>
        <v/>
      </c>
      <c r="E39" s="1352"/>
      <c r="F39" s="1352"/>
      <c r="G39" s="522" t="s">
        <v>87</v>
      </c>
      <c r="H39" s="604" t="str">
        <f>IF('Combat Sheet'!H39="", "", 'Combat Sheet'!H39)</f>
        <v/>
      </c>
      <c r="I39" s="527" t="s">
        <v>73</v>
      </c>
      <c r="J39" s="531"/>
      <c r="K39" s="529"/>
      <c r="L39" s="1372" t="str">
        <f>IF('Combat Sheet'!L39="", "", 'Combat Sheet'!L39)</f>
        <v/>
      </c>
      <c r="M39" s="1373"/>
      <c r="N39" s="1353" t="s">
        <v>88</v>
      </c>
      <c r="O39" s="1353"/>
      <c r="P39" s="1353"/>
      <c r="Q39" s="1353"/>
      <c r="R39" s="1352" t="str">
        <f>IF('Combat Sheet'!R39="", "", 'Combat Sheet'!R39)</f>
        <v/>
      </c>
      <c r="S39" s="1352"/>
      <c r="T39" s="1352"/>
      <c r="U39" s="1374"/>
      <c r="W39" s="544"/>
    </row>
    <row r="40" spans="1:23" ht="3.75" customHeight="1" thickBot="1" x14ac:dyDescent="0.3">
      <c r="A40" s="1375"/>
      <c r="B40" s="1375"/>
      <c r="C40" s="1375"/>
      <c r="D40" s="1375"/>
      <c r="E40" s="1375"/>
      <c r="F40" s="1375"/>
      <c r="G40" s="1375"/>
      <c r="H40" s="1375"/>
      <c r="I40" s="1375"/>
      <c r="J40" s="1375"/>
      <c r="K40" s="1375"/>
      <c r="L40" s="1375"/>
      <c r="M40" s="1375"/>
      <c r="N40" s="1375"/>
      <c r="O40" s="1375"/>
      <c r="P40" s="1375"/>
      <c r="Q40" s="1375"/>
      <c r="R40" s="1375"/>
      <c r="S40" s="1375"/>
      <c r="T40" s="1375"/>
      <c r="U40" s="1375"/>
      <c r="W40" s="544"/>
    </row>
    <row r="41" spans="1:23" ht="12.75" customHeight="1" thickBot="1" x14ac:dyDescent="0.3">
      <c r="A41" s="1348" t="s">
        <v>234</v>
      </c>
      <c r="B41" s="1349"/>
      <c r="C41" s="1349"/>
      <c r="D41" s="1349"/>
      <c r="E41" s="1349"/>
      <c r="F41" s="1349"/>
      <c r="G41" s="1349"/>
      <c r="H41" s="1349"/>
      <c r="I41" s="1349"/>
      <c r="J41" s="1349"/>
      <c r="K41" s="1349"/>
      <c r="L41" s="1349"/>
      <c r="M41" s="1349"/>
      <c r="N41" s="1349"/>
      <c r="O41" s="1349"/>
      <c r="P41" s="1349"/>
      <c r="Q41" s="1349"/>
      <c r="R41" s="1349"/>
      <c r="S41" s="1349"/>
      <c r="T41" s="1349"/>
      <c r="U41" s="1350"/>
      <c r="W41" s="544"/>
    </row>
    <row r="42" spans="1:23" ht="12.75" customHeight="1" thickBot="1" x14ac:dyDescent="0.3">
      <c r="A42" s="532" t="s">
        <v>254</v>
      </c>
      <c r="B42" s="533" t="s">
        <v>255</v>
      </c>
      <c r="C42" s="1382" t="s">
        <v>260</v>
      </c>
      <c r="D42" s="1382"/>
      <c r="E42" s="1382"/>
      <c r="F42" s="1382"/>
      <c r="G42" s="1382"/>
      <c r="H42" s="1382"/>
      <c r="I42" s="1383" t="s">
        <v>266</v>
      </c>
      <c r="J42" s="1383"/>
      <c r="K42" s="1383"/>
      <c r="L42" s="1383"/>
      <c r="M42" s="1383"/>
      <c r="N42" s="1384"/>
      <c r="O42" s="1385" t="s">
        <v>176</v>
      </c>
      <c r="P42" s="1386"/>
      <c r="Q42" s="1387" t="s">
        <v>113</v>
      </c>
      <c r="R42" s="1384"/>
      <c r="S42" s="534" t="s">
        <v>75</v>
      </c>
      <c r="T42" s="534" t="s">
        <v>76</v>
      </c>
      <c r="U42" s="535" t="s">
        <v>85</v>
      </c>
      <c r="W42" s="544"/>
    </row>
    <row r="43" spans="1:23" ht="12.75" customHeight="1" x14ac:dyDescent="0.25">
      <c r="A43" s="536"/>
      <c r="B43" s="537"/>
      <c r="C43" s="1343" t="s">
        <v>84</v>
      </c>
      <c r="D43" s="1344"/>
      <c r="E43" s="1372" t="str">
        <f>IF('Combat Sheet'!E43="", "", 'Combat Sheet'!E43)</f>
        <v/>
      </c>
      <c r="F43" s="1388"/>
      <c r="G43" s="1388"/>
      <c r="H43" s="1373"/>
      <c r="I43" s="1389" t="str">
        <f>IF('Combat Sheet'!I43="", "", 'Combat Sheet'!I43)</f>
        <v/>
      </c>
      <c r="J43" s="1390"/>
      <c r="K43" s="1388" t="str">
        <f>IF('Combat Sheet'!K43="", "", 'Combat Sheet'!K43)</f>
        <v>D6</v>
      </c>
      <c r="L43" s="1388"/>
      <c r="M43" s="1391" t="str">
        <f>IF('Combat Sheet'!M43="", "", 'Combat Sheet'!M43)</f>
        <v/>
      </c>
      <c r="N43" s="1391"/>
      <c r="O43" s="601" t="str">
        <f>IF('Combat Sheet'!O43="", "", 'Combat Sheet'!O43)</f>
        <v/>
      </c>
      <c r="P43" s="600" t="str">
        <f>IF('Combat Sheet'!P43="", "", 'Combat Sheet'!P43)</f>
        <v>ft</v>
      </c>
      <c r="Q43" s="1379" t="s">
        <v>257</v>
      </c>
      <c r="R43" s="1346"/>
      <c r="S43" s="538" t="str">
        <f>IF('Combat Sheet'!S43="", "", 'Combat Sheet'!S43)</f>
        <v/>
      </c>
      <c r="T43" s="538" t="str">
        <f>IF('Combat Sheet'!T43="", "", 'Combat Sheet'!T43)</f>
        <v/>
      </c>
      <c r="U43" s="539" t="str">
        <f>IF('Combat Sheet'!U43="", "", 'Combat Sheet'!U43)</f>
        <v/>
      </c>
      <c r="W43" s="544"/>
    </row>
    <row r="44" spans="1:23" ht="12.75" customHeight="1" x14ac:dyDescent="0.25">
      <c r="A44" s="536"/>
      <c r="B44" s="537"/>
      <c r="C44" s="1365" t="s">
        <v>655</v>
      </c>
      <c r="D44" s="1366"/>
      <c r="E44" s="1367"/>
      <c r="F44" s="1368" t="str">
        <f>IF('Combat Sheet'!F44="", "", 'Combat Sheet'!F44)</f>
        <v/>
      </c>
      <c r="G44" s="1369"/>
      <c r="H44" s="1369"/>
      <c r="I44" s="1369"/>
      <c r="J44" s="1369"/>
      <c r="K44" s="1369"/>
      <c r="L44" s="1369"/>
      <c r="M44" s="1369"/>
      <c r="N44" s="1369"/>
      <c r="O44" s="1369"/>
      <c r="P44" s="1380"/>
      <c r="Q44" s="1381" t="s">
        <v>63</v>
      </c>
      <c r="R44" s="1367"/>
      <c r="S44" s="602" t="str">
        <f>IF('Combat Sheet'!S44="", "", 'Combat Sheet'!S44)</f>
        <v/>
      </c>
      <c r="T44" s="602" t="str">
        <f>IF('Combat Sheet'!T44="", "", 'Combat Sheet'!T44)</f>
        <v/>
      </c>
      <c r="U44" s="519" t="str">
        <f>IF('Combat Sheet'!U44="", "", 'Combat Sheet'!U44)</f>
        <v/>
      </c>
      <c r="W44" s="544"/>
    </row>
    <row r="45" spans="1:23" ht="12.75" customHeight="1" x14ac:dyDescent="0.25">
      <c r="A45" s="536"/>
      <c r="B45" s="537"/>
      <c r="C45" s="1365" t="s">
        <v>251</v>
      </c>
      <c r="D45" s="1366"/>
      <c r="E45" s="1367"/>
      <c r="F45" s="1368" t="str">
        <f>IF('Combat Sheet'!F45="", "", 'Combat Sheet'!F45)</f>
        <v/>
      </c>
      <c r="G45" s="1369"/>
      <c r="H45" s="1369"/>
      <c r="I45" s="1369"/>
      <c r="J45" s="1369"/>
      <c r="K45" s="1369"/>
      <c r="L45" s="1369"/>
      <c r="M45" s="1369"/>
      <c r="N45" s="1369"/>
      <c r="O45" s="1369"/>
      <c r="P45" s="1369"/>
      <c r="Q45" s="1369"/>
      <c r="R45" s="1369"/>
      <c r="S45" s="1369"/>
      <c r="T45" s="1369"/>
      <c r="U45" s="1370"/>
      <c r="W45" s="544"/>
    </row>
    <row r="46" spans="1:23" ht="12.75" customHeight="1" x14ac:dyDescent="0.25">
      <c r="A46" s="536"/>
      <c r="B46" s="537"/>
      <c r="C46" s="1335" t="s">
        <v>252</v>
      </c>
      <c r="D46" s="1331"/>
      <c r="E46" s="1331"/>
      <c r="F46" s="1368" t="str">
        <f>IF('Combat Sheet'!F46="", "", 'Combat Sheet'!F46)</f>
        <v/>
      </c>
      <c r="G46" s="1369"/>
      <c r="H46" s="1369"/>
      <c r="I46" s="1369"/>
      <c r="J46" s="1369"/>
      <c r="K46" s="1369"/>
      <c r="L46" s="1369"/>
      <c r="M46" s="1369"/>
      <c r="N46" s="1369"/>
      <c r="O46" s="1369"/>
      <c r="P46" s="1369"/>
      <c r="Q46" s="1369"/>
      <c r="R46" s="1369"/>
      <c r="S46" s="1369"/>
      <c r="T46" s="1369"/>
      <c r="U46" s="1370"/>
      <c r="W46" s="544"/>
    </row>
    <row r="47" spans="1:23" ht="12.75" customHeight="1" thickBot="1" x14ac:dyDescent="0.3">
      <c r="A47" s="536"/>
      <c r="B47" s="537"/>
      <c r="C47" s="1376" t="s">
        <v>253</v>
      </c>
      <c r="D47" s="1377"/>
      <c r="E47" s="1378"/>
      <c r="F47" s="1392" t="str">
        <f>IF('Combat Sheet'!F47="", "", 'Combat Sheet'!F47)</f>
        <v/>
      </c>
      <c r="G47" s="1393"/>
      <c r="H47" s="1393"/>
      <c r="I47" s="1393"/>
      <c r="J47" s="1393"/>
      <c r="K47" s="1393"/>
      <c r="L47" s="1393"/>
      <c r="M47" s="1393"/>
      <c r="N47" s="1393"/>
      <c r="O47" s="1393"/>
      <c r="P47" s="1393"/>
      <c r="Q47" s="1393"/>
      <c r="R47" s="1393"/>
      <c r="S47" s="1393"/>
      <c r="T47" s="1393"/>
      <c r="U47" s="1394"/>
      <c r="W47" s="544"/>
    </row>
    <row r="48" spans="1:23" ht="12.75" customHeight="1" x14ac:dyDescent="0.25">
      <c r="A48" s="540"/>
      <c r="B48" s="537"/>
      <c r="C48" s="1343" t="s">
        <v>84</v>
      </c>
      <c r="D48" s="1344"/>
      <c r="E48" s="1372" t="str">
        <f>IF('Combat Sheet'!E48="", "", 'Combat Sheet'!E48)</f>
        <v/>
      </c>
      <c r="F48" s="1388"/>
      <c r="G48" s="1388"/>
      <c r="H48" s="1373"/>
      <c r="I48" s="1389" t="str">
        <f>IF('Combat Sheet'!I48="", "", 'Combat Sheet'!I48)</f>
        <v/>
      </c>
      <c r="J48" s="1390"/>
      <c r="K48" s="1388" t="str">
        <f>IF('Combat Sheet'!K48="", "", 'Combat Sheet'!K48)</f>
        <v>D6</v>
      </c>
      <c r="L48" s="1388"/>
      <c r="M48" s="1391" t="str">
        <f>IF('Combat Sheet'!M48="", "", 'Combat Sheet'!M48)</f>
        <v/>
      </c>
      <c r="N48" s="1391"/>
      <c r="O48" s="601" t="str">
        <f>IF('Combat Sheet'!O48="", "", 'Combat Sheet'!O48)</f>
        <v/>
      </c>
      <c r="P48" s="600" t="str">
        <f>IF('Combat Sheet'!P48="", "", 'Combat Sheet'!P48)</f>
        <v>ft</v>
      </c>
      <c r="Q48" s="1379" t="s">
        <v>257</v>
      </c>
      <c r="R48" s="1346"/>
      <c r="S48" s="538" t="str">
        <f>IF('Combat Sheet'!S48="", "", 'Combat Sheet'!S48)</f>
        <v/>
      </c>
      <c r="T48" s="538" t="str">
        <f>IF('Combat Sheet'!T48="", "", 'Combat Sheet'!T48)</f>
        <v/>
      </c>
      <c r="U48" s="539" t="str">
        <f>IF('Combat Sheet'!U48="", "", 'Combat Sheet'!U48)</f>
        <v/>
      </c>
    </row>
    <row r="49" spans="1:21" ht="12.75" customHeight="1" x14ac:dyDescent="0.25">
      <c r="A49" s="536"/>
      <c r="B49" s="537"/>
      <c r="C49" s="1365" t="s">
        <v>655</v>
      </c>
      <c r="D49" s="1366"/>
      <c r="E49" s="1367"/>
      <c r="F49" s="1368" t="str">
        <f>IF('Combat Sheet'!F49="", "", 'Combat Sheet'!F49)</f>
        <v/>
      </c>
      <c r="G49" s="1369"/>
      <c r="H49" s="1369"/>
      <c r="I49" s="1369"/>
      <c r="J49" s="1369"/>
      <c r="K49" s="1369"/>
      <c r="L49" s="1369"/>
      <c r="M49" s="1369"/>
      <c r="N49" s="1369"/>
      <c r="O49" s="1369"/>
      <c r="P49" s="1380"/>
      <c r="Q49" s="1381" t="s">
        <v>63</v>
      </c>
      <c r="R49" s="1367"/>
      <c r="S49" s="602" t="str">
        <f>IF('Combat Sheet'!S49="", "", 'Combat Sheet'!S49)</f>
        <v/>
      </c>
      <c r="T49" s="602" t="str">
        <f>IF('Combat Sheet'!T49="", "", 'Combat Sheet'!T49)</f>
        <v/>
      </c>
      <c r="U49" s="519" t="str">
        <f>IF('Combat Sheet'!U49="", "", 'Combat Sheet'!U49)</f>
        <v/>
      </c>
    </row>
    <row r="50" spans="1:21" ht="12.75" customHeight="1" x14ac:dyDescent="0.25">
      <c r="A50" s="536"/>
      <c r="B50" s="537"/>
      <c r="C50" s="1365" t="s">
        <v>251</v>
      </c>
      <c r="D50" s="1366"/>
      <c r="E50" s="1367"/>
      <c r="F50" s="1368" t="str">
        <f>IF('Combat Sheet'!F50="", "", 'Combat Sheet'!F50)</f>
        <v/>
      </c>
      <c r="G50" s="1369"/>
      <c r="H50" s="1369"/>
      <c r="I50" s="1369"/>
      <c r="J50" s="1369"/>
      <c r="K50" s="1369"/>
      <c r="L50" s="1369"/>
      <c r="M50" s="1369"/>
      <c r="N50" s="1369"/>
      <c r="O50" s="1369"/>
      <c r="P50" s="1369"/>
      <c r="Q50" s="1369"/>
      <c r="R50" s="1369"/>
      <c r="S50" s="1369"/>
      <c r="T50" s="1369"/>
      <c r="U50" s="1370"/>
    </row>
    <row r="51" spans="1:21" ht="12.75" customHeight="1" x14ac:dyDescent="0.25">
      <c r="A51" s="536"/>
      <c r="B51" s="537"/>
      <c r="C51" s="1335" t="s">
        <v>252</v>
      </c>
      <c r="D51" s="1331"/>
      <c r="E51" s="1331"/>
      <c r="F51" s="1368" t="str">
        <f>IF('Combat Sheet'!F51="", "", 'Combat Sheet'!F51)</f>
        <v/>
      </c>
      <c r="G51" s="1369"/>
      <c r="H51" s="1369"/>
      <c r="I51" s="1369"/>
      <c r="J51" s="1369"/>
      <c r="K51" s="1369"/>
      <c r="L51" s="1369"/>
      <c r="M51" s="1369"/>
      <c r="N51" s="1369"/>
      <c r="O51" s="1369"/>
      <c r="P51" s="1369"/>
      <c r="Q51" s="1369"/>
      <c r="R51" s="1369"/>
      <c r="S51" s="1369"/>
      <c r="T51" s="1369"/>
      <c r="U51" s="1370"/>
    </row>
    <row r="52" spans="1:21" ht="12.75" customHeight="1" thickBot="1" x14ac:dyDescent="0.3">
      <c r="A52" s="540"/>
      <c r="B52" s="537"/>
      <c r="C52" s="1376" t="s">
        <v>253</v>
      </c>
      <c r="D52" s="1377"/>
      <c r="E52" s="1378"/>
      <c r="F52" s="1392" t="str">
        <f>IF('Combat Sheet'!F52="", "", 'Combat Sheet'!F52)</f>
        <v/>
      </c>
      <c r="G52" s="1393"/>
      <c r="H52" s="1393"/>
      <c r="I52" s="1393"/>
      <c r="J52" s="1393"/>
      <c r="K52" s="1393"/>
      <c r="L52" s="1393"/>
      <c r="M52" s="1393"/>
      <c r="N52" s="1393"/>
      <c r="O52" s="1393"/>
      <c r="P52" s="1393"/>
      <c r="Q52" s="1393"/>
      <c r="R52" s="1393"/>
      <c r="S52" s="1393"/>
      <c r="T52" s="1393"/>
      <c r="U52" s="1394"/>
    </row>
    <row r="53" spans="1:21" ht="12.75" customHeight="1" x14ac:dyDescent="0.25">
      <c r="A53" s="540"/>
      <c r="B53" s="537"/>
      <c r="C53" s="1343" t="s">
        <v>84</v>
      </c>
      <c r="D53" s="1344"/>
      <c r="E53" s="1372" t="str">
        <f>IF('Combat Sheet'!E53="", "", 'Combat Sheet'!E53)</f>
        <v/>
      </c>
      <c r="F53" s="1388"/>
      <c r="G53" s="1388"/>
      <c r="H53" s="1373"/>
      <c r="I53" s="1389" t="str">
        <f>IF('Combat Sheet'!I53="", "", 'Combat Sheet'!I53)</f>
        <v/>
      </c>
      <c r="J53" s="1390"/>
      <c r="K53" s="1388" t="str">
        <f>IF('Combat Sheet'!K53="", "", 'Combat Sheet'!K53)</f>
        <v>D6</v>
      </c>
      <c r="L53" s="1388"/>
      <c r="M53" s="1391" t="str">
        <f>IF('Combat Sheet'!M53="", "", 'Combat Sheet'!M53)</f>
        <v/>
      </c>
      <c r="N53" s="1391"/>
      <c r="O53" s="601" t="str">
        <f>IF('Combat Sheet'!O53="", "", 'Combat Sheet'!O53)</f>
        <v/>
      </c>
      <c r="P53" s="600" t="str">
        <f>IF('Combat Sheet'!P53="", "", 'Combat Sheet'!P53)</f>
        <v>ft</v>
      </c>
      <c r="Q53" s="1379" t="s">
        <v>257</v>
      </c>
      <c r="R53" s="1346"/>
      <c r="S53" s="538" t="str">
        <f>IF('Combat Sheet'!S53="", "", 'Combat Sheet'!S53)</f>
        <v/>
      </c>
      <c r="T53" s="538" t="str">
        <f>IF('Combat Sheet'!T53="", "", 'Combat Sheet'!T53)</f>
        <v/>
      </c>
      <c r="U53" s="539" t="str">
        <f>IF('Combat Sheet'!U53="", "", 'Combat Sheet'!U53)</f>
        <v/>
      </c>
    </row>
    <row r="54" spans="1:21" ht="12.75" customHeight="1" thickBot="1" x14ac:dyDescent="0.3">
      <c r="A54" s="540"/>
      <c r="B54" s="537"/>
      <c r="C54" s="1365" t="s">
        <v>655</v>
      </c>
      <c r="D54" s="1366"/>
      <c r="E54" s="1367"/>
      <c r="F54" s="1368" t="str">
        <f>IF('Combat Sheet'!F54="", "", 'Combat Sheet'!F54)</f>
        <v/>
      </c>
      <c r="G54" s="1369"/>
      <c r="H54" s="1369"/>
      <c r="I54" s="1369"/>
      <c r="J54" s="1369"/>
      <c r="K54" s="1369"/>
      <c r="L54" s="1369"/>
      <c r="M54" s="1369"/>
      <c r="N54" s="1369"/>
      <c r="O54" s="1369"/>
      <c r="P54" s="1380"/>
      <c r="Q54" s="1381" t="s">
        <v>63</v>
      </c>
      <c r="R54" s="1367"/>
      <c r="S54" s="602" t="str">
        <f>IF('Combat Sheet'!S54="", "", 'Combat Sheet'!S54)</f>
        <v/>
      </c>
      <c r="T54" s="602" t="str">
        <f>IF('Combat Sheet'!T54="", "", 'Combat Sheet'!T54)</f>
        <v/>
      </c>
      <c r="U54" s="519" t="str">
        <f>IF('Combat Sheet'!U54="", "", 'Combat Sheet'!U54)</f>
        <v/>
      </c>
    </row>
    <row r="55" spans="1:21" ht="12.75" customHeight="1" x14ac:dyDescent="0.25">
      <c r="A55" s="540"/>
      <c r="B55" s="537"/>
      <c r="C55" s="1343" t="s">
        <v>84</v>
      </c>
      <c r="D55" s="1344"/>
      <c r="E55" s="1372" t="str">
        <f>IF('Combat Sheet'!E55="", "", 'Combat Sheet'!E55)</f>
        <v/>
      </c>
      <c r="F55" s="1388"/>
      <c r="G55" s="1388"/>
      <c r="H55" s="1373"/>
      <c r="I55" s="1389" t="str">
        <f>IF('Combat Sheet'!I55="", "", 'Combat Sheet'!I55)</f>
        <v/>
      </c>
      <c r="J55" s="1390"/>
      <c r="K55" s="1388" t="str">
        <f>IF('Combat Sheet'!K55="", "", 'Combat Sheet'!K55)</f>
        <v>D6</v>
      </c>
      <c r="L55" s="1388"/>
      <c r="M55" s="1391" t="str">
        <f>IF('Combat Sheet'!M55="", "", 'Combat Sheet'!M55)</f>
        <v/>
      </c>
      <c r="N55" s="1391"/>
      <c r="O55" s="601" t="str">
        <f>IF('Combat Sheet'!O55="", "", 'Combat Sheet'!O55)</f>
        <v/>
      </c>
      <c r="P55" s="600" t="str">
        <f>IF('Combat Sheet'!P55="", "", 'Combat Sheet'!P55)</f>
        <v>ft</v>
      </c>
      <c r="Q55" s="1379" t="s">
        <v>257</v>
      </c>
      <c r="R55" s="1346"/>
      <c r="S55" s="538" t="str">
        <f>IF('Combat Sheet'!S55="", "", 'Combat Sheet'!S55)</f>
        <v/>
      </c>
      <c r="T55" s="538" t="str">
        <f>IF('Combat Sheet'!T55="", "", 'Combat Sheet'!T55)</f>
        <v/>
      </c>
      <c r="U55" s="539" t="str">
        <f>IF('Combat Sheet'!U55="", "", 'Combat Sheet'!U55)</f>
        <v/>
      </c>
    </row>
    <row r="56" spans="1:21" ht="12.75" customHeight="1" thickBot="1" x14ac:dyDescent="0.3">
      <c r="A56" s="540"/>
      <c r="B56" s="537"/>
      <c r="C56" s="1365" t="s">
        <v>655</v>
      </c>
      <c r="D56" s="1366"/>
      <c r="E56" s="1367"/>
      <c r="F56" s="1368" t="str">
        <f>IF('Combat Sheet'!F56="", "", 'Combat Sheet'!F56)</f>
        <v/>
      </c>
      <c r="G56" s="1369"/>
      <c r="H56" s="1369"/>
      <c r="I56" s="1369"/>
      <c r="J56" s="1369"/>
      <c r="K56" s="1369"/>
      <c r="L56" s="1369"/>
      <c r="M56" s="1369"/>
      <c r="N56" s="1369"/>
      <c r="O56" s="1369"/>
      <c r="P56" s="1380"/>
      <c r="Q56" s="1381" t="s">
        <v>63</v>
      </c>
      <c r="R56" s="1367"/>
      <c r="S56" s="602" t="str">
        <f>IF('Combat Sheet'!S56="", "", 'Combat Sheet'!S56)</f>
        <v/>
      </c>
      <c r="T56" s="602" t="str">
        <f>IF('Combat Sheet'!T56="", "", 'Combat Sheet'!T56)</f>
        <v/>
      </c>
      <c r="U56" s="519" t="str">
        <f>IF('Combat Sheet'!U56="", "", 'Combat Sheet'!U56)</f>
        <v/>
      </c>
    </row>
    <row r="57" spans="1:21" ht="12.75" customHeight="1" x14ac:dyDescent="0.25">
      <c r="A57" s="540"/>
      <c r="B57" s="537"/>
      <c r="C57" s="1343" t="s">
        <v>84</v>
      </c>
      <c r="D57" s="1344"/>
      <c r="E57" s="1372" t="str">
        <f>IF('Combat Sheet'!E57="", "", 'Combat Sheet'!E57)</f>
        <v/>
      </c>
      <c r="F57" s="1388"/>
      <c r="G57" s="1388"/>
      <c r="H57" s="1373"/>
      <c r="I57" s="1389" t="str">
        <f>IF('Combat Sheet'!I57="", "", 'Combat Sheet'!I57)</f>
        <v/>
      </c>
      <c r="J57" s="1390"/>
      <c r="K57" s="1388" t="str">
        <f>IF('Combat Sheet'!K57="", "", 'Combat Sheet'!K57)</f>
        <v>D6</v>
      </c>
      <c r="L57" s="1388"/>
      <c r="M57" s="1391" t="str">
        <f>IF('Combat Sheet'!M57="", "", 'Combat Sheet'!M57)</f>
        <v/>
      </c>
      <c r="N57" s="1391"/>
      <c r="O57" s="601" t="str">
        <f>IF('Combat Sheet'!O57="", "", 'Combat Sheet'!O57)</f>
        <v/>
      </c>
      <c r="P57" s="600" t="str">
        <f>IF('Combat Sheet'!P57="", "", 'Combat Sheet'!P57)</f>
        <v>ft</v>
      </c>
      <c r="Q57" s="1379" t="s">
        <v>257</v>
      </c>
      <c r="R57" s="1346"/>
      <c r="S57" s="538" t="str">
        <f>IF('Combat Sheet'!S57="", "", 'Combat Sheet'!S57)</f>
        <v/>
      </c>
      <c r="T57" s="538" t="str">
        <f>IF('Combat Sheet'!T57="", "", 'Combat Sheet'!T57)</f>
        <v/>
      </c>
      <c r="U57" s="539" t="str">
        <f>IF('Combat Sheet'!U57="", "", 'Combat Sheet'!U57)</f>
        <v/>
      </c>
    </row>
    <row r="58" spans="1:21" ht="12.75" customHeight="1" thickBot="1" x14ac:dyDescent="0.3">
      <c r="A58" s="541"/>
      <c r="B58" s="542"/>
      <c r="C58" s="1376" t="s">
        <v>655</v>
      </c>
      <c r="D58" s="1377"/>
      <c r="E58" s="1378"/>
      <c r="F58" s="1392" t="str">
        <f>IF('Combat Sheet'!F58="", "", 'Combat Sheet'!F58)</f>
        <v/>
      </c>
      <c r="G58" s="1393"/>
      <c r="H58" s="1393"/>
      <c r="I58" s="1393"/>
      <c r="J58" s="1393"/>
      <c r="K58" s="1393"/>
      <c r="L58" s="1393"/>
      <c r="M58" s="1393"/>
      <c r="N58" s="1393"/>
      <c r="O58" s="1393"/>
      <c r="P58" s="1395"/>
      <c r="Q58" s="1396" t="s">
        <v>63</v>
      </c>
      <c r="R58" s="1378"/>
      <c r="S58" s="607" t="str">
        <f>IF('Combat Sheet'!S58="", "", 'Combat Sheet'!S58)</f>
        <v/>
      </c>
      <c r="T58" s="607" t="str">
        <f>IF('Combat Sheet'!T58="", "", 'Combat Sheet'!T58)</f>
        <v/>
      </c>
      <c r="U58" s="525" t="str">
        <f>IF('Combat Sheet'!U58="", "", 'Combat Sheet'!U58)</f>
        <v/>
      </c>
    </row>
    <row r="59" spans="1:21" ht="12.75" customHeight="1" x14ac:dyDescent="0.25">
      <c r="B59" s="544"/>
      <c r="C59" s="544"/>
      <c r="D59" s="544"/>
      <c r="E59" s="544"/>
      <c r="F59" s="544"/>
      <c r="G59" s="544"/>
      <c r="H59" s="544"/>
      <c r="I59" s="544"/>
      <c r="J59" s="544"/>
      <c r="K59" s="544"/>
      <c r="L59" s="544"/>
      <c r="M59" s="544"/>
      <c r="N59" s="544"/>
      <c r="O59" s="544"/>
      <c r="P59" s="544"/>
      <c r="Q59" s="544"/>
      <c r="R59" s="544"/>
      <c r="S59" s="544"/>
      <c r="T59" s="544"/>
      <c r="U59" s="544"/>
    </row>
    <row r="60" spans="1:21" ht="12.75" customHeight="1" x14ac:dyDescent="0.25">
      <c r="O60" s="544"/>
      <c r="P60" s="544"/>
      <c r="Q60" s="544"/>
      <c r="R60" s="544"/>
      <c r="S60" s="544"/>
      <c r="T60" s="544"/>
      <c r="U60" s="544"/>
    </row>
    <row r="61" spans="1:21" ht="12.75" customHeight="1" x14ac:dyDescent="0.25">
      <c r="S61" s="544"/>
      <c r="T61" s="544"/>
      <c r="U61" s="544"/>
    </row>
    <row r="62" spans="1:21" ht="12.75" customHeight="1" x14ac:dyDescent="0.25">
      <c r="S62" s="544"/>
      <c r="T62" s="544"/>
      <c r="U62" s="544"/>
    </row>
    <row r="63" spans="1:21" ht="12.75" customHeight="1" x14ac:dyDescent="0.25">
      <c r="S63" s="544"/>
      <c r="T63" s="544"/>
    </row>
    <row r="64" spans="1:21" ht="12.75" customHeight="1" x14ac:dyDescent="0.25"/>
    <row r="65" ht="12.75" customHeight="1" x14ac:dyDescent="0.25"/>
    <row r="66" ht="12.75" customHeight="1" x14ac:dyDescent="0.25"/>
    <row r="67" ht="12.75" customHeight="1" x14ac:dyDescent="0.25"/>
    <row r="68" ht="12.75" customHeight="1" x14ac:dyDescent="0.25"/>
    <row r="69" ht="12.75" customHeight="1" x14ac:dyDescent="0.25"/>
    <row r="70" ht="12.75" customHeight="1" x14ac:dyDescent="0.25"/>
    <row r="71" ht="12.75" customHeight="1" x14ac:dyDescent="0.25"/>
    <row r="72" ht="12.75" customHeight="1" x14ac:dyDescent="0.25"/>
    <row r="73" ht="12.75" customHeight="1" x14ac:dyDescent="0.25"/>
    <row r="74" ht="12.75" customHeight="1" x14ac:dyDescent="0.25"/>
    <row r="75" ht="12.75" customHeight="1" x14ac:dyDescent="0.25"/>
    <row r="76" ht="12.75" customHeight="1" x14ac:dyDescent="0.25"/>
    <row r="77" ht="12.75" customHeight="1" x14ac:dyDescent="0.25"/>
    <row r="78" ht="12.75" customHeight="1" x14ac:dyDescent="0.25"/>
  </sheetData>
  <sheetProtection algorithmName="SHA-512" hashValue="NEW2NrxKkCn/4JJjYZ4OiblGVY7BvbvEyQtHqlc7bwLfR5IdFiabLerV49c6K4Nt/pa0ErkP7/V0a+sBSk9VTA==" saltValue="Jzc8iOVpyP6n6KRzIZKiMQ==" spinCount="100000" sheet="1" objects="1" scenarios="1" selectLockedCells="1" selectUnlockedCells="1"/>
  <dataConsolidate/>
  <mergeCells count="234">
    <mergeCell ref="C58:E58"/>
    <mergeCell ref="F58:P58"/>
    <mergeCell ref="Q58:R58"/>
    <mergeCell ref="C56:E56"/>
    <mergeCell ref="F56:P56"/>
    <mergeCell ref="Q56:R56"/>
    <mergeCell ref="C57:D57"/>
    <mergeCell ref="E57:H57"/>
    <mergeCell ref="I57:J57"/>
    <mergeCell ref="K57:L57"/>
    <mergeCell ref="M57:N57"/>
    <mergeCell ref="Q57:R57"/>
    <mergeCell ref="C54:E54"/>
    <mergeCell ref="F54:P54"/>
    <mergeCell ref="Q54:R54"/>
    <mergeCell ref="C55:D55"/>
    <mergeCell ref="E55:H55"/>
    <mergeCell ref="I55:J55"/>
    <mergeCell ref="K55:L55"/>
    <mergeCell ref="M55:N55"/>
    <mergeCell ref="Q55:R55"/>
    <mergeCell ref="C52:E52"/>
    <mergeCell ref="F52:U52"/>
    <mergeCell ref="C53:D53"/>
    <mergeCell ref="E53:H53"/>
    <mergeCell ref="I53:J53"/>
    <mergeCell ref="K53:L53"/>
    <mergeCell ref="M53:N53"/>
    <mergeCell ref="Q53:R53"/>
    <mergeCell ref="C49:E49"/>
    <mergeCell ref="F49:P49"/>
    <mergeCell ref="Q49:R49"/>
    <mergeCell ref="C50:E50"/>
    <mergeCell ref="F50:U50"/>
    <mergeCell ref="C51:E51"/>
    <mergeCell ref="F51:U51"/>
    <mergeCell ref="C46:E46"/>
    <mergeCell ref="F46:U46"/>
    <mergeCell ref="C47:E47"/>
    <mergeCell ref="F47:U47"/>
    <mergeCell ref="C48:D48"/>
    <mergeCell ref="E48:H48"/>
    <mergeCell ref="I48:J48"/>
    <mergeCell ref="K48:L48"/>
    <mergeCell ref="M48:N48"/>
    <mergeCell ref="Q48:R48"/>
    <mergeCell ref="Q43:R43"/>
    <mergeCell ref="C44:E44"/>
    <mergeCell ref="F44:P44"/>
    <mergeCell ref="Q44:R44"/>
    <mergeCell ref="C45:E45"/>
    <mergeCell ref="F45:U45"/>
    <mergeCell ref="A41:U41"/>
    <mergeCell ref="C42:H42"/>
    <mergeCell ref="I42:N42"/>
    <mergeCell ref="O42:P42"/>
    <mergeCell ref="Q42:R42"/>
    <mergeCell ref="C43:D43"/>
    <mergeCell ref="E43:H43"/>
    <mergeCell ref="I43:J43"/>
    <mergeCell ref="K43:L43"/>
    <mergeCell ref="M43:N43"/>
    <mergeCell ref="B39:C39"/>
    <mergeCell ref="D39:F39"/>
    <mergeCell ref="L39:M39"/>
    <mergeCell ref="N39:Q39"/>
    <mergeCell ref="R39:U39"/>
    <mergeCell ref="A40:U40"/>
    <mergeCell ref="B37:D37"/>
    <mergeCell ref="E37:U37"/>
    <mergeCell ref="B38:C38"/>
    <mergeCell ref="D38:F38"/>
    <mergeCell ref="L38:M38"/>
    <mergeCell ref="N38:Q38"/>
    <mergeCell ref="R38:U38"/>
    <mergeCell ref="B34:D34"/>
    <mergeCell ref="E34:U34"/>
    <mergeCell ref="B35:D35"/>
    <mergeCell ref="E35:U35"/>
    <mergeCell ref="B36:D36"/>
    <mergeCell ref="E36:U36"/>
    <mergeCell ref="A31:U31"/>
    <mergeCell ref="A32:U32"/>
    <mergeCell ref="B33:C33"/>
    <mergeCell ref="D33:F33"/>
    <mergeCell ref="L33:M33"/>
    <mergeCell ref="N33:Q33"/>
    <mergeCell ref="R33:U33"/>
    <mergeCell ref="A29:G29"/>
    <mergeCell ref="I29:K29"/>
    <mergeCell ref="L29:M29"/>
    <mergeCell ref="N29:P29"/>
    <mergeCell ref="S29:T29"/>
    <mergeCell ref="A30:G30"/>
    <mergeCell ref="I30:K30"/>
    <mergeCell ref="L30:M30"/>
    <mergeCell ref="N30:P30"/>
    <mergeCell ref="S30:T30"/>
    <mergeCell ref="A27:G27"/>
    <mergeCell ref="I27:K27"/>
    <mergeCell ref="L27:M27"/>
    <mergeCell ref="N27:P27"/>
    <mergeCell ref="S27:T27"/>
    <mergeCell ref="A28:G28"/>
    <mergeCell ref="I28:K28"/>
    <mergeCell ref="L28:M28"/>
    <mergeCell ref="N28:P28"/>
    <mergeCell ref="S28:T28"/>
    <mergeCell ref="A24:U24"/>
    <mergeCell ref="A25:U25"/>
    <mergeCell ref="A26:G26"/>
    <mergeCell ref="I26:K26"/>
    <mergeCell ref="L26:M26"/>
    <mergeCell ref="N26:P26"/>
    <mergeCell ref="S26:T26"/>
    <mergeCell ref="A23:D23"/>
    <mergeCell ref="F23:G23"/>
    <mergeCell ref="J23:K23"/>
    <mergeCell ref="L23:Q23"/>
    <mergeCell ref="R23:S23"/>
    <mergeCell ref="T23:U23"/>
    <mergeCell ref="A22:D22"/>
    <mergeCell ref="F22:G22"/>
    <mergeCell ref="J22:K22"/>
    <mergeCell ref="L22:Q22"/>
    <mergeCell ref="R22:S22"/>
    <mergeCell ref="T22:U22"/>
    <mergeCell ref="A21:D21"/>
    <mergeCell ref="F21:G21"/>
    <mergeCell ref="J21:K21"/>
    <mergeCell ref="L21:Q21"/>
    <mergeCell ref="R21:S21"/>
    <mergeCell ref="T21:U21"/>
    <mergeCell ref="A20:D20"/>
    <mergeCell ref="F20:G20"/>
    <mergeCell ref="J20:K20"/>
    <mergeCell ref="L20:Q20"/>
    <mergeCell ref="R20:S20"/>
    <mergeCell ref="T20:U20"/>
    <mergeCell ref="A19:D19"/>
    <mergeCell ref="F19:G19"/>
    <mergeCell ref="J19:K19"/>
    <mergeCell ref="L19:Q19"/>
    <mergeCell ref="R19:S19"/>
    <mergeCell ref="T19:U19"/>
    <mergeCell ref="A18:D18"/>
    <mergeCell ref="F18:G18"/>
    <mergeCell ref="J18:K18"/>
    <mergeCell ref="L18:Q18"/>
    <mergeCell ref="R18:S18"/>
    <mergeCell ref="T18:U18"/>
    <mergeCell ref="A17:D17"/>
    <mergeCell ref="F17:G17"/>
    <mergeCell ref="J17:K17"/>
    <mergeCell ref="L17:Q17"/>
    <mergeCell ref="R17:S17"/>
    <mergeCell ref="T17:U17"/>
    <mergeCell ref="A16:D16"/>
    <mergeCell ref="F16:G16"/>
    <mergeCell ref="J16:K16"/>
    <mergeCell ref="L16:Q16"/>
    <mergeCell ref="R16:S16"/>
    <mergeCell ref="T16:U16"/>
    <mergeCell ref="A15:D15"/>
    <mergeCell ref="F15:G15"/>
    <mergeCell ref="J15:K15"/>
    <mergeCell ref="L15:Q15"/>
    <mergeCell ref="R15:S15"/>
    <mergeCell ref="T15:U15"/>
    <mergeCell ref="A14:D14"/>
    <mergeCell ref="F14:G14"/>
    <mergeCell ref="J14:K14"/>
    <mergeCell ref="L14:Q14"/>
    <mergeCell ref="R14:S14"/>
    <mergeCell ref="T14:U14"/>
    <mergeCell ref="A13:D13"/>
    <mergeCell ref="F13:G13"/>
    <mergeCell ref="J13:K13"/>
    <mergeCell ref="L13:Q13"/>
    <mergeCell ref="R13:S13"/>
    <mergeCell ref="T13:U13"/>
    <mergeCell ref="A12:D12"/>
    <mergeCell ref="F12:G12"/>
    <mergeCell ref="J12:K12"/>
    <mergeCell ref="L12:Q12"/>
    <mergeCell ref="R12:S12"/>
    <mergeCell ref="T12:U12"/>
    <mergeCell ref="A11:E11"/>
    <mergeCell ref="F11:H11"/>
    <mergeCell ref="J11:K11"/>
    <mergeCell ref="L11:Q11"/>
    <mergeCell ref="R11:S11"/>
    <mergeCell ref="T11:U11"/>
    <mergeCell ref="A1:U1"/>
    <mergeCell ref="A2:U2"/>
    <mergeCell ref="A3:E3"/>
    <mergeCell ref="F3:H3"/>
    <mergeCell ref="I3:I23"/>
    <mergeCell ref="J3:U3"/>
    <mergeCell ref="A4:D4"/>
    <mergeCell ref="F4:G4"/>
    <mergeCell ref="J4:Q5"/>
    <mergeCell ref="R4:S5"/>
    <mergeCell ref="T4:U5"/>
    <mergeCell ref="A5:D5"/>
    <mergeCell ref="F5:G5"/>
    <mergeCell ref="A6:D6"/>
    <mergeCell ref="F6:G6"/>
    <mergeCell ref="J6:K6"/>
    <mergeCell ref="L6:Q6"/>
    <mergeCell ref="R6:S6"/>
    <mergeCell ref="T6:U6"/>
    <mergeCell ref="T10:U10"/>
    <mergeCell ref="T8:U8"/>
    <mergeCell ref="A9:H9"/>
    <mergeCell ref="J9:K9"/>
    <mergeCell ref="L9:Q9"/>
    <mergeCell ref="A7:H7"/>
    <mergeCell ref="J7:K7"/>
    <mergeCell ref="L7:Q7"/>
    <mergeCell ref="R7:S7"/>
    <mergeCell ref="T7:U7"/>
    <mergeCell ref="A10:D10"/>
    <mergeCell ref="E10:H10"/>
    <mergeCell ref="J10:K10"/>
    <mergeCell ref="L10:Q10"/>
    <mergeCell ref="R10:S10"/>
    <mergeCell ref="R9:S9"/>
    <mergeCell ref="T9:U9"/>
    <mergeCell ref="A8:D8"/>
    <mergeCell ref="F8:G8"/>
    <mergeCell ref="J8:K8"/>
    <mergeCell ref="L8:Q8"/>
    <mergeCell ref="R8:S8"/>
  </mergeCells>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81" r:id="rId4" name="Check Box 1">
              <controlPr defaultSize="0" autoFill="0" autoLine="0" autoPict="0">
                <anchor moveWithCells="1">
                  <from>
                    <xdr:col>9</xdr:col>
                    <xdr:colOff>76200</xdr:colOff>
                    <xdr:row>5</xdr:row>
                    <xdr:rowOff>0</xdr:rowOff>
                  </from>
                  <to>
                    <xdr:col>10</xdr:col>
                    <xdr:colOff>76200</xdr:colOff>
                    <xdr:row>6</xdr:row>
                    <xdr:rowOff>0</xdr:rowOff>
                  </to>
                </anchor>
              </controlPr>
            </control>
          </mc:Choice>
        </mc:AlternateContent>
        <mc:AlternateContent xmlns:mc="http://schemas.openxmlformats.org/markup-compatibility/2006">
          <mc:Choice Requires="x14">
            <control shapeId="20482" r:id="rId5" name="Check Box 2">
              <controlPr locked="0" defaultSize="0" autoFill="0" autoLine="0" autoPict="0">
                <anchor moveWithCells="1">
                  <from>
                    <xdr:col>9</xdr:col>
                    <xdr:colOff>76200</xdr:colOff>
                    <xdr:row>6</xdr:row>
                    <xdr:rowOff>0</xdr:rowOff>
                  </from>
                  <to>
                    <xdr:col>10</xdr:col>
                    <xdr:colOff>76200</xdr:colOff>
                    <xdr:row>7</xdr:row>
                    <xdr:rowOff>0</xdr:rowOff>
                  </to>
                </anchor>
              </controlPr>
            </control>
          </mc:Choice>
        </mc:AlternateContent>
        <mc:AlternateContent xmlns:mc="http://schemas.openxmlformats.org/markup-compatibility/2006">
          <mc:Choice Requires="x14">
            <control shapeId="20483" r:id="rId6" name="Check Box 3">
              <controlPr locked="0" defaultSize="0" autoFill="0" autoLine="0" autoPict="0">
                <anchor moveWithCells="1">
                  <from>
                    <xdr:col>9</xdr:col>
                    <xdr:colOff>76200</xdr:colOff>
                    <xdr:row>7</xdr:row>
                    <xdr:rowOff>0</xdr:rowOff>
                  </from>
                  <to>
                    <xdr:col>10</xdr:col>
                    <xdr:colOff>76200</xdr:colOff>
                    <xdr:row>8</xdr:row>
                    <xdr:rowOff>0</xdr:rowOff>
                  </to>
                </anchor>
              </controlPr>
            </control>
          </mc:Choice>
        </mc:AlternateContent>
        <mc:AlternateContent xmlns:mc="http://schemas.openxmlformats.org/markup-compatibility/2006">
          <mc:Choice Requires="x14">
            <control shapeId="20484" r:id="rId7" name="Check Box 4">
              <controlPr locked="0" defaultSize="0" autoFill="0" autoLine="0" autoPict="0">
                <anchor moveWithCells="1">
                  <from>
                    <xdr:col>9</xdr:col>
                    <xdr:colOff>76200</xdr:colOff>
                    <xdr:row>8</xdr:row>
                    <xdr:rowOff>0</xdr:rowOff>
                  </from>
                  <to>
                    <xdr:col>10</xdr:col>
                    <xdr:colOff>76200</xdr:colOff>
                    <xdr:row>9</xdr:row>
                    <xdr:rowOff>0</xdr:rowOff>
                  </to>
                </anchor>
              </controlPr>
            </control>
          </mc:Choice>
        </mc:AlternateContent>
        <mc:AlternateContent xmlns:mc="http://schemas.openxmlformats.org/markup-compatibility/2006">
          <mc:Choice Requires="x14">
            <control shapeId="20485" r:id="rId8" name="Check Box 5">
              <controlPr locked="0" defaultSize="0" autoFill="0" autoLine="0" autoPict="0">
                <anchor moveWithCells="1">
                  <from>
                    <xdr:col>9</xdr:col>
                    <xdr:colOff>76200</xdr:colOff>
                    <xdr:row>9</xdr:row>
                    <xdr:rowOff>0</xdr:rowOff>
                  </from>
                  <to>
                    <xdr:col>10</xdr:col>
                    <xdr:colOff>76200</xdr:colOff>
                    <xdr:row>10</xdr:row>
                    <xdr:rowOff>0</xdr:rowOff>
                  </to>
                </anchor>
              </controlPr>
            </control>
          </mc:Choice>
        </mc:AlternateContent>
        <mc:AlternateContent xmlns:mc="http://schemas.openxmlformats.org/markup-compatibility/2006">
          <mc:Choice Requires="x14">
            <control shapeId="20486" r:id="rId9" name="Check Box 6">
              <controlPr locked="0" defaultSize="0" autoFill="0" autoLine="0" autoPict="0">
                <anchor moveWithCells="1">
                  <from>
                    <xdr:col>9</xdr:col>
                    <xdr:colOff>76200</xdr:colOff>
                    <xdr:row>10</xdr:row>
                    <xdr:rowOff>0</xdr:rowOff>
                  </from>
                  <to>
                    <xdr:col>10</xdr:col>
                    <xdr:colOff>76200</xdr:colOff>
                    <xdr:row>11</xdr:row>
                    <xdr:rowOff>0</xdr:rowOff>
                  </to>
                </anchor>
              </controlPr>
            </control>
          </mc:Choice>
        </mc:AlternateContent>
        <mc:AlternateContent xmlns:mc="http://schemas.openxmlformats.org/markup-compatibility/2006">
          <mc:Choice Requires="x14">
            <control shapeId="20487" r:id="rId10" name="Check Box 7">
              <controlPr defaultSize="0" autoFill="0" autoLine="0" autoPict="0">
                <anchor moveWithCells="1">
                  <from>
                    <xdr:col>9</xdr:col>
                    <xdr:colOff>76200</xdr:colOff>
                    <xdr:row>11</xdr:row>
                    <xdr:rowOff>0</xdr:rowOff>
                  </from>
                  <to>
                    <xdr:col>10</xdr:col>
                    <xdr:colOff>76200</xdr:colOff>
                    <xdr:row>12</xdr:row>
                    <xdr:rowOff>0</xdr:rowOff>
                  </to>
                </anchor>
              </controlPr>
            </control>
          </mc:Choice>
        </mc:AlternateContent>
        <mc:AlternateContent xmlns:mc="http://schemas.openxmlformats.org/markup-compatibility/2006">
          <mc:Choice Requires="x14">
            <control shapeId="20488" r:id="rId11" name="Check Box 8">
              <controlPr defaultSize="0" autoFill="0" autoLine="0" autoPict="0">
                <anchor moveWithCells="1">
                  <from>
                    <xdr:col>9</xdr:col>
                    <xdr:colOff>76200</xdr:colOff>
                    <xdr:row>12</xdr:row>
                    <xdr:rowOff>0</xdr:rowOff>
                  </from>
                  <to>
                    <xdr:col>10</xdr:col>
                    <xdr:colOff>76200</xdr:colOff>
                    <xdr:row>13</xdr:row>
                    <xdr:rowOff>0</xdr:rowOff>
                  </to>
                </anchor>
              </controlPr>
            </control>
          </mc:Choice>
        </mc:AlternateContent>
        <mc:AlternateContent xmlns:mc="http://schemas.openxmlformats.org/markup-compatibility/2006">
          <mc:Choice Requires="x14">
            <control shapeId="20489" r:id="rId12" name="Check Box 9">
              <controlPr defaultSize="0" autoFill="0" autoLine="0" autoPict="0">
                <anchor moveWithCells="1">
                  <from>
                    <xdr:col>9</xdr:col>
                    <xdr:colOff>76200</xdr:colOff>
                    <xdr:row>13</xdr:row>
                    <xdr:rowOff>0</xdr:rowOff>
                  </from>
                  <to>
                    <xdr:col>10</xdr:col>
                    <xdr:colOff>76200</xdr:colOff>
                    <xdr:row>14</xdr:row>
                    <xdr:rowOff>0</xdr:rowOff>
                  </to>
                </anchor>
              </controlPr>
            </control>
          </mc:Choice>
        </mc:AlternateContent>
        <mc:AlternateContent xmlns:mc="http://schemas.openxmlformats.org/markup-compatibility/2006">
          <mc:Choice Requires="x14">
            <control shapeId="20490" r:id="rId13" name="Check Box 10">
              <controlPr defaultSize="0" autoFill="0" autoLine="0" autoPict="0">
                <anchor moveWithCells="1">
                  <from>
                    <xdr:col>9</xdr:col>
                    <xdr:colOff>76200</xdr:colOff>
                    <xdr:row>14</xdr:row>
                    <xdr:rowOff>0</xdr:rowOff>
                  </from>
                  <to>
                    <xdr:col>10</xdr:col>
                    <xdr:colOff>76200</xdr:colOff>
                    <xdr:row>15</xdr:row>
                    <xdr:rowOff>0</xdr:rowOff>
                  </to>
                </anchor>
              </controlPr>
            </control>
          </mc:Choice>
        </mc:AlternateContent>
        <mc:AlternateContent xmlns:mc="http://schemas.openxmlformats.org/markup-compatibility/2006">
          <mc:Choice Requires="x14">
            <control shapeId="20491" r:id="rId14" name="Check Box 11">
              <controlPr defaultSize="0" autoFill="0" autoLine="0" autoPict="0">
                <anchor moveWithCells="1">
                  <from>
                    <xdr:col>9</xdr:col>
                    <xdr:colOff>76200</xdr:colOff>
                    <xdr:row>15</xdr:row>
                    <xdr:rowOff>0</xdr:rowOff>
                  </from>
                  <to>
                    <xdr:col>10</xdr:col>
                    <xdr:colOff>76200</xdr:colOff>
                    <xdr:row>16</xdr:row>
                    <xdr:rowOff>0</xdr:rowOff>
                  </to>
                </anchor>
              </controlPr>
            </control>
          </mc:Choice>
        </mc:AlternateContent>
        <mc:AlternateContent xmlns:mc="http://schemas.openxmlformats.org/markup-compatibility/2006">
          <mc:Choice Requires="x14">
            <control shapeId="20492" r:id="rId15" name="Check Box 12">
              <controlPr defaultSize="0" autoFill="0" autoLine="0" autoPict="0">
                <anchor moveWithCells="1">
                  <from>
                    <xdr:col>9</xdr:col>
                    <xdr:colOff>76200</xdr:colOff>
                    <xdr:row>16</xdr:row>
                    <xdr:rowOff>0</xdr:rowOff>
                  </from>
                  <to>
                    <xdr:col>10</xdr:col>
                    <xdr:colOff>76200</xdr:colOff>
                    <xdr:row>17</xdr:row>
                    <xdr:rowOff>0</xdr:rowOff>
                  </to>
                </anchor>
              </controlPr>
            </control>
          </mc:Choice>
        </mc:AlternateContent>
        <mc:AlternateContent xmlns:mc="http://schemas.openxmlformats.org/markup-compatibility/2006">
          <mc:Choice Requires="x14">
            <control shapeId="20493" r:id="rId16" name="Check Box 13">
              <controlPr defaultSize="0" autoFill="0" autoLine="0" autoPict="0">
                <anchor moveWithCells="1">
                  <from>
                    <xdr:col>9</xdr:col>
                    <xdr:colOff>76200</xdr:colOff>
                    <xdr:row>17</xdr:row>
                    <xdr:rowOff>0</xdr:rowOff>
                  </from>
                  <to>
                    <xdr:col>10</xdr:col>
                    <xdr:colOff>76200</xdr:colOff>
                    <xdr:row>18</xdr:row>
                    <xdr:rowOff>0</xdr:rowOff>
                  </to>
                </anchor>
              </controlPr>
            </control>
          </mc:Choice>
        </mc:AlternateContent>
        <mc:AlternateContent xmlns:mc="http://schemas.openxmlformats.org/markup-compatibility/2006">
          <mc:Choice Requires="x14">
            <control shapeId="20494" r:id="rId17" name="Check Box 14">
              <controlPr defaultSize="0" autoFill="0" autoLine="0" autoPict="0">
                <anchor moveWithCells="1">
                  <from>
                    <xdr:col>9</xdr:col>
                    <xdr:colOff>76200</xdr:colOff>
                    <xdr:row>18</xdr:row>
                    <xdr:rowOff>0</xdr:rowOff>
                  </from>
                  <to>
                    <xdr:col>10</xdr:col>
                    <xdr:colOff>76200</xdr:colOff>
                    <xdr:row>19</xdr:row>
                    <xdr:rowOff>0</xdr:rowOff>
                  </to>
                </anchor>
              </controlPr>
            </control>
          </mc:Choice>
        </mc:AlternateContent>
        <mc:AlternateContent xmlns:mc="http://schemas.openxmlformats.org/markup-compatibility/2006">
          <mc:Choice Requires="x14">
            <control shapeId="20495" r:id="rId18" name="Check Box 15">
              <controlPr defaultSize="0" autoFill="0" autoLine="0" autoPict="0">
                <anchor moveWithCells="1">
                  <from>
                    <xdr:col>9</xdr:col>
                    <xdr:colOff>76200</xdr:colOff>
                    <xdr:row>19</xdr:row>
                    <xdr:rowOff>0</xdr:rowOff>
                  </from>
                  <to>
                    <xdr:col>10</xdr:col>
                    <xdr:colOff>76200</xdr:colOff>
                    <xdr:row>20</xdr:row>
                    <xdr:rowOff>0</xdr:rowOff>
                  </to>
                </anchor>
              </controlPr>
            </control>
          </mc:Choice>
        </mc:AlternateContent>
        <mc:AlternateContent xmlns:mc="http://schemas.openxmlformats.org/markup-compatibility/2006">
          <mc:Choice Requires="x14">
            <control shapeId="20496" r:id="rId19" name="Check Box 16">
              <controlPr defaultSize="0" autoFill="0" autoLine="0" autoPict="0">
                <anchor moveWithCells="1">
                  <from>
                    <xdr:col>9</xdr:col>
                    <xdr:colOff>76200</xdr:colOff>
                    <xdr:row>20</xdr:row>
                    <xdr:rowOff>0</xdr:rowOff>
                  </from>
                  <to>
                    <xdr:col>10</xdr:col>
                    <xdr:colOff>76200</xdr:colOff>
                    <xdr:row>21</xdr:row>
                    <xdr:rowOff>0</xdr:rowOff>
                  </to>
                </anchor>
              </controlPr>
            </control>
          </mc:Choice>
        </mc:AlternateContent>
        <mc:AlternateContent xmlns:mc="http://schemas.openxmlformats.org/markup-compatibility/2006">
          <mc:Choice Requires="x14">
            <control shapeId="20497" r:id="rId20" name="Check Box 17">
              <controlPr defaultSize="0" autoFill="0" autoLine="0" autoPict="0">
                <anchor moveWithCells="1">
                  <from>
                    <xdr:col>9</xdr:col>
                    <xdr:colOff>76200</xdr:colOff>
                    <xdr:row>21</xdr:row>
                    <xdr:rowOff>0</xdr:rowOff>
                  </from>
                  <to>
                    <xdr:col>10</xdr:col>
                    <xdr:colOff>76200</xdr:colOff>
                    <xdr:row>22</xdr:row>
                    <xdr:rowOff>0</xdr:rowOff>
                  </to>
                </anchor>
              </controlPr>
            </control>
          </mc:Choice>
        </mc:AlternateContent>
        <mc:AlternateContent xmlns:mc="http://schemas.openxmlformats.org/markup-compatibility/2006">
          <mc:Choice Requires="x14">
            <control shapeId="20498" r:id="rId21" name="Check Box 18">
              <controlPr locked="0" defaultSize="0" autoFill="0" autoLine="0" autoPict="0">
                <anchor moveWithCells="1">
                  <from>
                    <xdr:col>9</xdr:col>
                    <xdr:colOff>76200</xdr:colOff>
                    <xdr:row>22</xdr:row>
                    <xdr:rowOff>0</xdr:rowOff>
                  </from>
                  <to>
                    <xdr:col>10</xdr:col>
                    <xdr:colOff>76200</xdr:colOff>
                    <xdr:row>23</xdr:row>
                    <xdr:rowOff>0</xdr:rowOff>
                  </to>
                </anchor>
              </controlPr>
            </control>
          </mc:Choice>
        </mc:AlternateContent>
        <mc:AlternateContent xmlns:mc="http://schemas.openxmlformats.org/markup-compatibility/2006">
          <mc:Choice Requires="x14">
            <control shapeId="20499" r:id="rId22" name="Group Box 19">
              <controlPr defaultSize="0" autoFill="0" autoPict="0">
                <anchor moveWithCells="1">
                  <from>
                    <xdr:col>0</xdr:col>
                    <xdr:colOff>9525</xdr:colOff>
                    <xdr:row>32</xdr:row>
                    <xdr:rowOff>9525</xdr:rowOff>
                  </from>
                  <to>
                    <xdr:col>1</xdr:col>
                    <xdr:colOff>0</xdr:colOff>
                    <xdr:row>39</xdr:row>
                    <xdr:rowOff>9525</xdr:rowOff>
                  </to>
                </anchor>
              </controlPr>
            </control>
          </mc:Choice>
        </mc:AlternateContent>
        <mc:AlternateContent xmlns:mc="http://schemas.openxmlformats.org/markup-compatibility/2006">
          <mc:Choice Requires="x14">
            <control shapeId="20500" r:id="rId23" name="Group Box 20">
              <controlPr defaultSize="0" autoFill="0" autoPict="0">
                <anchor moveWithCells="1">
                  <from>
                    <xdr:col>0</xdr:col>
                    <xdr:colOff>0</xdr:colOff>
                    <xdr:row>42</xdr:row>
                    <xdr:rowOff>0</xdr:rowOff>
                  </from>
                  <to>
                    <xdr:col>1</xdr:col>
                    <xdr:colOff>9525</xdr:colOff>
                    <xdr:row>57</xdr:row>
                    <xdr:rowOff>152400</xdr:rowOff>
                  </to>
                </anchor>
              </controlPr>
            </control>
          </mc:Choice>
        </mc:AlternateContent>
        <mc:AlternateContent xmlns:mc="http://schemas.openxmlformats.org/markup-compatibility/2006">
          <mc:Choice Requires="x14">
            <control shapeId="20501" r:id="rId24" name="Group Box 21">
              <controlPr defaultSize="0" autoFill="0" autoPict="0">
                <anchor moveWithCells="1">
                  <from>
                    <xdr:col>1</xdr:col>
                    <xdr:colOff>0</xdr:colOff>
                    <xdr:row>42</xdr:row>
                    <xdr:rowOff>0</xdr:rowOff>
                  </from>
                  <to>
                    <xdr:col>2</xdr:col>
                    <xdr:colOff>9525</xdr:colOff>
                    <xdr:row>57</xdr:row>
                    <xdr:rowOff>152400</xdr:rowOff>
                  </to>
                </anchor>
              </controlPr>
            </control>
          </mc:Choice>
        </mc:AlternateContent>
        <mc:AlternateContent xmlns:mc="http://schemas.openxmlformats.org/markup-compatibility/2006">
          <mc:Choice Requires="x14">
            <control shapeId="20502" r:id="rId25" name="Option Button 22">
              <controlPr locked="0" defaultSize="0" autoFill="0" autoLine="0" autoPict="0">
                <anchor moveWithCells="1">
                  <from>
                    <xdr:col>0</xdr:col>
                    <xdr:colOff>9525</xdr:colOff>
                    <xdr:row>42</xdr:row>
                    <xdr:rowOff>9525</xdr:rowOff>
                  </from>
                  <to>
                    <xdr:col>0</xdr:col>
                    <xdr:colOff>190500</xdr:colOff>
                    <xdr:row>43</xdr:row>
                    <xdr:rowOff>0</xdr:rowOff>
                  </to>
                </anchor>
              </controlPr>
            </control>
          </mc:Choice>
        </mc:AlternateContent>
        <mc:AlternateContent xmlns:mc="http://schemas.openxmlformats.org/markup-compatibility/2006">
          <mc:Choice Requires="x14">
            <control shapeId="20503" r:id="rId26" name="Option Button 23">
              <controlPr locked="0" defaultSize="0" autoFill="0" autoLine="0" autoPict="0">
                <anchor moveWithCells="1">
                  <from>
                    <xdr:col>0</xdr:col>
                    <xdr:colOff>9525</xdr:colOff>
                    <xdr:row>47</xdr:row>
                    <xdr:rowOff>9525</xdr:rowOff>
                  </from>
                  <to>
                    <xdr:col>0</xdr:col>
                    <xdr:colOff>190500</xdr:colOff>
                    <xdr:row>48</xdr:row>
                    <xdr:rowOff>0</xdr:rowOff>
                  </to>
                </anchor>
              </controlPr>
            </control>
          </mc:Choice>
        </mc:AlternateContent>
        <mc:AlternateContent xmlns:mc="http://schemas.openxmlformats.org/markup-compatibility/2006">
          <mc:Choice Requires="x14">
            <control shapeId="20504" r:id="rId27" name="Option Button 24">
              <controlPr locked="0" defaultSize="0" autoFill="0" autoLine="0" autoPict="0">
                <anchor moveWithCells="1">
                  <from>
                    <xdr:col>0</xdr:col>
                    <xdr:colOff>9525</xdr:colOff>
                    <xdr:row>52</xdr:row>
                    <xdr:rowOff>9525</xdr:rowOff>
                  </from>
                  <to>
                    <xdr:col>0</xdr:col>
                    <xdr:colOff>190500</xdr:colOff>
                    <xdr:row>53</xdr:row>
                    <xdr:rowOff>0</xdr:rowOff>
                  </to>
                </anchor>
              </controlPr>
            </control>
          </mc:Choice>
        </mc:AlternateContent>
        <mc:AlternateContent xmlns:mc="http://schemas.openxmlformats.org/markup-compatibility/2006">
          <mc:Choice Requires="x14">
            <control shapeId="20505" r:id="rId28" name="Option Button 25">
              <controlPr locked="0" defaultSize="0" autoFill="0" autoLine="0" autoPict="0">
                <anchor moveWithCells="1">
                  <from>
                    <xdr:col>0</xdr:col>
                    <xdr:colOff>9525</xdr:colOff>
                    <xdr:row>54</xdr:row>
                    <xdr:rowOff>9525</xdr:rowOff>
                  </from>
                  <to>
                    <xdr:col>0</xdr:col>
                    <xdr:colOff>190500</xdr:colOff>
                    <xdr:row>55</xdr:row>
                    <xdr:rowOff>0</xdr:rowOff>
                  </to>
                </anchor>
              </controlPr>
            </control>
          </mc:Choice>
        </mc:AlternateContent>
        <mc:AlternateContent xmlns:mc="http://schemas.openxmlformats.org/markup-compatibility/2006">
          <mc:Choice Requires="x14">
            <control shapeId="20506" r:id="rId29" name="Option Button 26">
              <controlPr locked="0" defaultSize="0" autoFill="0" autoLine="0" autoPict="0">
                <anchor moveWithCells="1">
                  <from>
                    <xdr:col>0</xdr:col>
                    <xdr:colOff>9525</xdr:colOff>
                    <xdr:row>56</xdr:row>
                    <xdr:rowOff>9525</xdr:rowOff>
                  </from>
                  <to>
                    <xdr:col>0</xdr:col>
                    <xdr:colOff>190500</xdr:colOff>
                    <xdr:row>57</xdr:row>
                    <xdr:rowOff>0</xdr:rowOff>
                  </to>
                </anchor>
              </controlPr>
            </control>
          </mc:Choice>
        </mc:AlternateContent>
        <mc:AlternateContent xmlns:mc="http://schemas.openxmlformats.org/markup-compatibility/2006">
          <mc:Choice Requires="x14">
            <control shapeId="20507" r:id="rId30" name="Option Button 27">
              <controlPr locked="0" defaultSize="0" autoFill="0" autoLine="0" autoPict="0">
                <anchor moveWithCells="1">
                  <from>
                    <xdr:col>1</xdr:col>
                    <xdr:colOff>9525</xdr:colOff>
                    <xdr:row>42</xdr:row>
                    <xdr:rowOff>9525</xdr:rowOff>
                  </from>
                  <to>
                    <xdr:col>1</xdr:col>
                    <xdr:colOff>190500</xdr:colOff>
                    <xdr:row>43</xdr:row>
                    <xdr:rowOff>0</xdr:rowOff>
                  </to>
                </anchor>
              </controlPr>
            </control>
          </mc:Choice>
        </mc:AlternateContent>
        <mc:AlternateContent xmlns:mc="http://schemas.openxmlformats.org/markup-compatibility/2006">
          <mc:Choice Requires="x14">
            <control shapeId="20508" r:id="rId31" name="Option Button 28">
              <controlPr locked="0" defaultSize="0" autoFill="0" autoLine="0" autoPict="0">
                <anchor moveWithCells="1">
                  <from>
                    <xdr:col>1</xdr:col>
                    <xdr:colOff>9525</xdr:colOff>
                    <xdr:row>47</xdr:row>
                    <xdr:rowOff>9525</xdr:rowOff>
                  </from>
                  <to>
                    <xdr:col>1</xdr:col>
                    <xdr:colOff>190500</xdr:colOff>
                    <xdr:row>48</xdr:row>
                    <xdr:rowOff>0</xdr:rowOff>
                  </to>
                </anchor>
              </controlPr>
            </control>
          </mc:Choice>
        </mc:AlternateContent>
        <mc:AlternateContent xmlns:mc="http://schemas.openxmlformats.org/markup-compatibility/2006">
          <mc:Choice Requires="x14">
            <control shapeId="20509" r:id="rId32" name="Option Button 29">
              <controlPr locked="0" defaultSize="0" autoFill="0" autoLine="0" autoPict="0">
                <anchor moveWithCells="1">
                  <from>
                    <xdr:col>1</xdr:col>
                    <xdr:colOff>9525</xdr:colOff>
                    <xdr:row>52</xdr:row>
                    <xdr:rowOff>9525</xdr:rowOff>
                  </from>
                  <to>
                    <xdr:col>1</xdr:col>
                    <xdr:colOff>190500</xdr:colOff>
                    <xdr:row>53</xdr:row>
                    <xdr:rowOff>0</xdr:rowOff>
                  </to>
                </anchor>
              </controlPr>
            </control>
          </mc:Choice>
        </mc:AlternateContent>
        <mc:AlternateContent xmlns:mc="http://schemas.openxmlformats.org/markup-compatibility/2006">
          <mc:Choice Requires="x14">
            <control shapeId="20510" r:id="rId33" name="Option Button 30">
              <controlPr locked="0" defaultSize="0" autoFill="0" autoLine="0" autoPict="0">
                <anchor moveWithCells="1">
                  <from>
                    <xdr:col>1</xdr:col>
                    <xdr:colOff>9525</xdr:colOff>
                    <xdr:row>54</xdr:row>
                    <xdr:rowOff>9525</xdr:rowOff>
                  </from>
                  <to>
                    <xdr:col>1</xdr:col>
                    <xdr:colOff>190500</xdr:colOff>
                    <xdr:row>55</xdr:row>
                    <xdr:rowOff>0</xdr:rowOff>
                  </to>
                </anchor>
              </controlPr>
            </control>
          </mc:Choice>
        </mc:AlternateContent>
        <mc:AlternateContent xmlns:mc="http://schemas.openxmlformats.org/markup-compatibility/2006">
          <mc:Choice Requires="x14">
            <control shapeId="20511" r:id="rId34" name="Option Button 31">
              <controlPr locked="0" defaultSize="0" autoFill="0" autoLine="0" autoPict="0">
                <anchor moveWithCells="1">
                  <from>
                    <xdr:col>1</xdr:col>
                    <xdr:colOff>9525</xdr:colOff>
                    <xdr:row>56</xdr:row>
                    <xdr:rowOff>9525</xdr:rowOff>
                  </from>
                  <to>
                    <xdr:col>1</xdr:col>
                    <xdr:colOff>190500</xdr:colOff>
                    <xdr:row>57</xdr:row>
                    <xdr:rowOff>0</xdr:rowOff>
                  </to>
                </anchor>
              </controlPr>
            </control>
          </mc:Choice>
        </mc:AlternateContent>
        <mc:AlternateContent xmlns:mc="http://schemas.openxmlformats.org/markup-compatibility/2006">
          <mc:Choice Requires="x14">
            <control shapeId="20512" r:id="rId35" name="Option Button 32">
              <controlPr locked="0" defaultSize="0" autoFill="0" autoLine="0" autoPict="0">
                <anchor moveWithCells="1">
                  <from>
                    <xdr:col>0</xdr:col>
                    <xdr:colOff>9525</xdr:colOff>
                    <xdr:row>32</xdr:row>
                    <xdr:rowOff>9525</xdr:rowOff>
                  </from>
                  <to>
                    <xdr:col>0</xdr:col>
                    <xdr:colOff>190500</xdr:colOff>
                    <xdr:row>33</xdr:row>
                    <xdr:rowOff>0</xdr:rowOff>
                  </to>
                </anchor>
              </controlPr>
            </control>
          </mc:Choice>
        </mc:AlternateContent>
        <mc:AlternateContent xmlns:mc="http://schemas.openxmlformats.org/markup-compatibility/2006">
          <mc:Choice Requires="x14">
            <control shapeId="20513" r:id="rId36" name="Option Button 33">
              <controlPr locked="0" defaultSize="0" autoFill="0" autoLine="0" autoPict="0">
                <anchor moveWithCells="1">
                  <from>
                    <xdr:col>0</xdr:col>
                    <xdr:colOff>9525</xdr:colOff>
                    <xdr:row>37</xdr:row>
                    <xdr:rowOff>9525</xdr:rowOff>
                  </from>
                  <to>
                    <xdr:col>0</xdr:col>
                    <xdr:colOff>190500</xdr:colOff>
                    <xdr:row>38</xdr:row>
                    <xdr:rowOff>0</xdr:rowOff>
                  </to>
                </anchor>
              </controlPr>
            </control>
          </mc:Choice>
        </mc:AlternateContent>
        <mc:AlternateContent xmlns:mc="http://schemas.openxmlformats.org/markup-compatibility/2006">
          <mc:Choice Requires="x14">
            <control shapeId="20514" r:id="rId37" name="Option Button 34">
              <controlPr locked="0" defaultSize="0" autoFill="0" autoLine="0" autoPict="0">
                <anchor moveWithCells="1">
                  <from>
                    <xdr:col>0</xdr:col>
                    <xdr:colOff>9525</xdr:colOff>
                    <xdr:row>38</xdr:row>
                    <xdr:rowOff>9525</xdr:rowOff>
                  </from>
                  <to>
                    <xdr:col>0</xdr:col>
                    <xdr:colOff>190500</xdr:colOff>
                    <xdr:row>39</xdr:row>
                    <xdr:rowOff>0</xdr:rowOff>
                  </to>
                </anchor>
              </controlPr>
            </control>
          </mc:Choice>
        </mc:AlternateContent>
        <mc:AlternateContent xmlns:mc="http://schemas.openxmlformats.org/markup-compatibility/2006">
          <mc:Choice Requires="x14">
            <control shapeId="20515" r:id="rId38" name="Check Box 35">
              <controlPr locked="0" defaultSize="0" autoFill="0" autoLine="0" autoPict="0">
                <anchor moveWithCells="1">
                  <from>
                    <xdr:col>9</xdr:col>
                    <xdr:colOff>76200</xdr:colOff>
                    <xdr:row>11</xdr:row>
                    <xdr:rowOff>0</xdr:rowOff>
                  </from>
                  <to>
                    <xdr:col>10</xdr:col>
                    <xdr:colOff>76200</xdr:colOff>
                    <xdr:row>12</xdr:row>
                    <xdr:rowOff>0</xdr:rowOff>
                  </to>
                </anchor>
              </controlPr>
            </control>
          </mc:Choice>
        </mc:AlternateContent>
        <mc:AlternateContent xmlns:mc="http://schemas.openxmlformats.org/markup-compatibility/2006">
          <mc:Choice Requires="x14">
            <control shapeId="20516" r:id="rId39" name="Check Box 36">
              <controlPr locked="0" defaultSize="0" autoFill="0" autoLine="0" autoPict="0">
                <anchor moveWithCells="1">
                  <from>
                    <xdr:col>9</xdr:col>
                    <xdr:colOff>76200</xdr:colOff>
                    <xdr:row>12</xdr:row>
                    <xdr:rowOff>0</xdr:rowOff>
                  </from>
                  <to>
                    <xdr:col>10</xdr:col>
                    <xdr:colOff>76200</xdr:colOff>
                    <xdr:row>13</xdr:row>
                    <xdr:rowOff>0</xdr:rowOff>
                  </to>
                </anchor>
              </controlPr>
            </control>
          </mc:Choice>
        </mc:AlternateContent>
        <mc:AlternateContent xmlns:mc="http://schemas.openxmlformats.org/markup-compatibility/2006">
          <mc:Choice Requires="x14">
            <control shapeId="20517" r:id="rId40" name="Check Box 37">
              <controlPr locked="0" defaultSize="0" autoFill="0" autoLine="0" autoPict="0">
                <anchor moveWithCells="1">
                  <from>
                    <xdr:col>9</xdr:col>
                    <xdr:colOff>76200</xdr:colOff>
                    <xdr:row>13</xdr:row>
                    <xdr:rowOff>0</xdr:rowOff>
                  </from>
                  <to>
                    <xdr:col>10</xdr:col>
                    <xdr:colOff>76200</xdr:colOff>
                    <xdr:row>14</xdr:row>
                    <xdr:rowOff>0</xdr:rowOff>
                  </to>
                </anchor>
              </controlPr>
            </control>
          </mc:Choice>
        </mc:AlternateContent>
        <mc:AlternateContent xmlns:mc="http://schemas.openxmlformats.org/markup-compatibility/2006">
          <mc:Choice Requires="x14">
            <control shapeId="20518" r:id="rId41" name="Check Box 38">
              <controlPr locked="0" defaultSize="0" autoFill="0" autoLine="0" autoPict="0">
                <anchor moveWithCells="1">
                  <from>
                    <xdr:col>9</xdr:col>
                    <xdr:colOff>76200</xdr:colOff>
                    <xdr:row>14</xdr:row>
                    <xdr:rowOff>0</xdr:rowOff>
                  </from>
                  <to>
                    <xdr:col>10</xdr:col>
                    <xdr:colOff>76200</xdr:colOff>
                    <xdr:row>15</xdr:row>
                    <xdr:rowOff>0</xdr:rowOff>
                  </to>
                </anchor>
              </controlPr>
            </control>
          </mc:Choice>
        </mc:AlternateContent>
        <mc:AlternateContent xmlns:mc="http://schemas.openxmlformats.org/markup-compatibility/2006">
          <mc:Choice Requires="x14">
            <control shapeId="20519" r:id="rId42" name="Check Box 39">
              <controlPr locked="0" defaultSize="0" autoFill="0" autoLine="0" autoPict="0">
                <anchor moveWithCells="1">
                  <from>
                    <xdr:col>9</xdr:col>
                    <xdr:colOff>76200</xdr:colOff>
                    <xdr:row>15</xdr:row>
                    <xdr:rowOff>0</xdr:rowOff>
                  </from>
                  <to>
                    <xdr:col>10</xdr:col>
                    <xdr:colOff>76200</xdr:colOff>
                    <xdr:row>16</xdr:row>
                    <xdr:rowOff>0</xdr:rowOff>
                  </to>
                </anchor>
              </controlPr>
            </control>
          </mc:Choice>
        </mc:AlternateContent>
        <mc:AlternateContent xmlns:mc="http://schemas.openxmlformats.org/markup-compatibility/2006">
          <mc:Choice Requires="x14">
            <control shapeId="20520" r:id="rId43" name="Check Box 40">
              <controlPr locked="0" defaultSize="0" autoFill="0" autoLine="0" autoPict="0">
                <anchor moveWithCells="1">
                  <from>
                    <xdr:col>9</xdr:col>
                    <xdr:colOff>76200</xdr:colOff>
                    <xdr:row>16</xdr:row>
                    <xdr:rowOff>0</xdr:rowOff>
                  </from>
                  <to>
                    <xdr:col>10</xdr:col>
                    <xdr:colOff>76200</xdr:colOff>
                    <xdr:row>17</xdr:row>
                    <xdr:rowOff>0</xdr:rowOff>
                  </to>
                </anchor>
              </controlPr>
            </control>
          </mc:Choice>
        </mc:AlternateContent>
        <mc:AlternateContent xmlns:mc="http://schemas.openxmlformats.org/markup-compatibility/2006">
          <mc:Choice Requires="x14">
            <control shapeId="20521" r:id="rId44" name="Check Box 41">
              <controlPr locked="0" defaultSize="0" autoFill="0" autoLine="0" autoPict="0">
                <anchor moveWithCells="1">
                  <from>
                    <xdr:col>9</xdr:col>
                    <xdr:colOff>76200</xdr:colOff>
                    <xdr:row>17</xdr:row>
                    <xdr:rowOff>0</xdr:rowOff>
                  </from>
                  <to>
                    <xdr:col>10</xdr:col>
                    <xdr:colOff>76200</xdr:colOff>
                    <xdr:row>18</xdr:row>
                    <xdr:rowOff>0</xdr:rowOff>
                  </to>
                </anchor>
              </controlPr>
            </control>
          </mc:Choice>
        </mc:AlternateContent>
        <mc:AlternateContent xmlns:mc="http://schemas.openxmlformats.org/markup-compatibility/2006">
          <mc:Choice Requires="x14">
            <control shapeId="20522" r:id="rId45" name="Check Box 42">
              <controlPr locked="0" defaultSize="0" autoFill="0" autoLine="0" autoPict="0">
                <anchor moveWithCells="1">
                  <from>
                    <xdr:col>9</xdr:col>
                    <xdr:colOff>76200</xdr:colOff>
                    <xdr:row>18</xdr:row>
                    <xdr:rowOff>0</xdr:rowOff>
                  </from>
                  <to>
                    <xdr:col>10</xdr:col>
                    <xdr:colOff>76200</xdr:colOff>
                    <xdr:row>19</xdr:row>
                    <xdr:rowOff>0</xdr:rowOff>
                  </to>
                </anchor>
              </controlPr>
            </control>
          </mc:Choice>
        </mc:AlternateContent>
        <mc:AlternateContent xmlns:mc="http://schemas.openxmlformats.org/markup-compatibility/2006">
          <mc:Choice Requires="x14">
            <control shapeId="20523" r:id="rId46" name="Check Box 43">
              <controlPr locked="0" defaultSize="0" autoFill="0" autoLine="0" autoPict="0">
                <anchor moveWithCells="1">
                  <from>
                    <xdr:col>9</xdr:col>
                    <xdr:colOff>76200</xdr:colOff>
                    <xdr:row>19</xdr:row>
                    <xdr:rowOff>0</xdr:rowOff>
                  </from>
                  <to>
                    <xdr:col>10</xdr:col>
                    <xdr:colOff>76200</xdr:colOff>
                    <xdr:row>20</xdr:row>
                    <xdr:rowOff>0</xdr:rowOff>
                  </to>
                </anchor>
              </controlPr>
            </control>
          </mc:Choice>
        </mc:AlternateContent>
        <mc:AlternateContent xmlns:mc="http://schemas.openxmlformats.org/markup-compatibility/2006">
          <mc:Choice Requires="x14">
            <control shapeId="20524" r:id="rId47" name="Check Box 44">
              <controlPr locked="0" defaultSize="0" autoFill="0" autoLine="0" autoPict="0">
                <anchor moveWithCells="1">
                  <from>
                    <xdr:col>9</xdr:col>
                    <xdr:colOff>76200</xdr:colOff>
                    <xdr:row>20</xdr:row>
                    <xdr:rowOff>0</xdr:rowOff>
                  </from>
                  <to>
                    <xdr:col>10</xdr:col>
                    <xdr:colOff>76200</xdr:colOff>
                    <xdr:row>21</xdr:row>
                    <xdr:rowOff>0</xdr:rowOff>
                  </to>
                </anchor>
              </controlPr>
            </control>
          </mc:Choice>
        </mc:AlternateContent>
        <mc:AlternateContent xmlns:mc="http://schemas.openxmlformats.org/markup-compatibility/2006">
          <mc:Choice Requires="x14">
            <control shapeId="20525" r:id="rId48" name="Check Box 45">
              <controlPr locked="0" defaultSize="0" autoFill="0" autoLine="0" autoPict="0">
                <anchor moveWithCells="1">
                  <from>
                    <xdr:col>9</xdr:col>
                    <xdr:colOff>76200</xdr:colOff>
                    <xdr:row>21</xdr:row>
                    <xdr:rowOff>0</xdr:rowOff>
                  </from>
                  <to>
                    <xdr:col>10</xdr:col>
                    <xdr:colOff>76200</xdr:colOff>
                    <xdr:row>22</xdr:row>
                    <xdr:rowOff>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EE8857-53CB-40B9-9B02-4AA3DA104840}">
  <dimension ref="A1:BC212"/>
  <sheetViews>
    <sheetView workbookViewId="0">
      <pane xSplit="2" ySplit="2" topLeftCell="C3" activePane="bottomRight" state="frozen"/>
      <selection pane="topRight" activeCell="C1" sqref="C1"/>
      <selection pane="bottomLeft" activeCell="A3" sqref="A3"/>
      <selection pane="bottomRight" activeCell="A2" sqref="A2"/>
    </sheetView>
  </sheetViews>
  <sheetFormatPr defaultRowHeight="15" x14ac:dyDescent="0.25"/>
  <cols>
    <col min="1" max="1" width="32.85546875" bestFit="1" customWidth="1"/>
    <col min="2" max="3" width="37.140625" customWidth="1"/>
    <col min="22" max="22" width="10.28515625" bestFit="1" customWidth="1"/>
    <col min="23" max="23" width="7.28515625" bestFit="1" customWidth="1"/>
    <col min="24" max="24" width="13.42578125" bestFit="1" customWidth="1"/>
    <col min="25" max="25" width="6.7109375" bestFit="1" customWidth="1"/>
    <col min="26" max="26" width="8.140625" bestFit="1" customWidth="1"/>
    <col min="27" max="27" width="7.140625" bestFit="1" customWidth="1"/>
    <col min="28" max="28" width="5.5703125" bestFit="1" customWidth="1"/>
    <col min="29" max="29" width="8.42578125" bestFit="1" customWidth="1"/>
    <col min="30" max="30" width="13.28515625" bestFit="1" customWidth="1"/>
    <col min="31" max="31" width="9.42578125" bestFit="1" customWidth="1"/>
    <col min="32" max="32" width="6.42578125" bestFit="1" customWidth="1"/>
    <col min="33" max="33" width="7.42578125" bestFit="1" customWidth="1"/>
    <col min="34" max="34" width="6.7109375" bestFit="1" customWidth="1"/>
    <col min="35" max="35" width="17.28515625" bestFit="1" customWidth="1"/>
    <col min="36" max="36" width="10.5703125" bestFit="1" customWidth="1"/>
    <col min="37" max="37" width="7.28515625" bestFit="1" customWidth="1"/>
    <col min="38" max="38" width="3.28515625" bestFit="1" customWidth="1"/>
    <col min="39" max="39" width="6.28515625" bestFit="1" customWidth="1"/>
    <col min="40" max="40" width="7.42578125" bestFit="1" customWidth="1"/>
    <col min="41" max="41" width="10.5703125" bestFit="1" customWidth="1"/>
    <col min="42" max="42" width="7.28515625" bestFit="1" customWidth="1"/>
    <col min="43" max="43" width="6.85546875" bestFit="1" customWidth="1"/>
    <col min="44" max="44" width="14.42578125" bestFit="1" customWidth="1"/>
    <col min="45" max="45" width="11.140625" bestFit="1" customWidth="1"/>
    <col min="46" max="46" width="4" bestFit="1" customWidth="1"/>
    <col min="47" max="47" width="5.28515625" bestFit="1" customWidth="1"/>
    <col min="48" max="48" width="5" bestFit="1" customWidth="1"/>
    <col min="49" max="49" width="10.85546875" bestFit="1" customWidth="1"/>
    <col min="50" max="50" width="7.5703125" bestFit="1" customWidth="1"/>
    <col min="51" max="51" width="6" bestFit="1" customWidth="1"/>
    <col min="53" max="53" width="16" bestFit="1" customWidth="1"/>
    <col min="55" max="55" width="14" bestFit="1" customWidth="1"/>
  </cols>
  <sheetData>
    <row r="1" spans="1:55" ht="15.75" thickBot="1" x14ac:dyDescent="0.3">
      <c r="A1" s="1420" t="s">
        <v>54</v>
      </c>
      <c r="B1" s="1421"/>
      <c r="C1" s="1422"/>
      <c r="D1" s="1403" t="s">
        <v>512</v>
      </c>
      <c r="E1" s="1404"/>
      <c r="F1" s="1404"/>
      <c r="G1" s="1404"/>
      <c r="H1" s="1404"/>
      <c r="I1" s="1404"/>
      <c r="J1" s="1404"/>
      <c r="K1" s="1405"/>
      <c r="L1" s="1409" t="s">
        <v>478</v>
      </c>
      <c r="M1" s="1410"/>
      <c r="N1" s="1410"/>
      <c r="O1" s="1410"/>
      <c r="P1" s="1410"/>
      <c r="Q1" s="1410"/>
      <c r="R1" s="1410"/>
      <c r="S1" s="1410"/>
      <c r="T1" s="1410"/>
      <c r="U1" s="1411"/>
      <c r="V1" s="1417" t="s">
        <v>507</v>
      </c>
      <c r="W1" s="1418"/>
      <c r="X1" s="1418"/>
      <c r="Y1" s="1418"/>
      <c r="Z1" s="1418"/>
      <c r="AA1" s="1418"/>
      <c r="AB1" s="1418"/>
      <c r="AC1" s="1418"/>
      <c r="AD1" s="1418"/>
      <c r="AE1" s="1418"/>
      <c r="AF1" s="1418"/>
      <c r="AG1" s="1418"/>
      <c r="AH1" s="1418"/>
      <c r="AI1" s="1418"/>
      <c r="AJ1" s="1419"/>
      <c r="AK1" s="1409" t="s">
        <v>508</v>
      </c>
      <c r="AL1" s="1410"/>
      <c r="AM1" s="1410"/>
      <c r="AN1" s="1410"/>
      <c r="AO1" s="1410"/>
      <c r="AP1" s="1410"/>
      <c r="AQ1" s="1410"/>
      <c r="AR1" s="1410"/>
      <c r="AS1" s="1410"/>
      <c r="AT1" s="1410"/>
      <c r="AU1" s="1410"/>
      <c r="AV1" s="1410"/>
      <c r="AW1" s="1410"/>
      <c r="AX1" s="1410"/>
      <c r="AY1" s="1411"/>
      <c r="AZ1" s="199"/>
      <c r="BA1" s="199"/>
      <c r="BB1" s="199"/>
      <c r="BC1" s="199"/>
    </row>
    <row r="2" spans="1:55" ht="15.75" thickBot="1" x14ac:dyDescent="0.3">
      <c r="A2" s="302" t="s">
        <v>263</v>
      </c>
      <c r="B2" s="303" t="s">
        <v>5</v>
      </c>
      <c r="C2" s="304" t="s">
        <v>513</v>
      </c>
      <c r="D2" s="305" t="s">
        <v>509</v>
      </c>
      <c r="E2" s="306" t="s">
        <v>510</v>
      </c>
      <c r="F2" s="306" t="s">
        <v>511</v>
      </c>
      <c r="G2" s="306" t="s">
        <v>166</v>
      </c>
      <c r="H2" s="306" t="s">
        <v>644</v>
      </c>
      <c r="I2" s="306" t="s">
        <v>643</v>
      </c>
      <c r="J2" s="306" t="s">
        <v>143</v>
      </c>
      <c r="K2" s="307" t="s">
        <v>641</v>
      </c>
      <c r="L2" s="308" t="s">
        <v>14</v>
      </c>
      <c r="M2" s="309" t="s">
        <v>18</v>
      </c>
      <c r="N2" s="309" t="s">
        <v>22</v>
      </c>
      <c r="O2" s="309" t="s">
        <v>29</v>
      </c>
      <c r="P2" s="309" t="s">
        <v>73</v>
      </c>
      <c r="Q2" s="309" t="s">
        <v>102</v>
      </c>
      <c r="R2" s="309" t="s">
        <v>74</v>
      </c>
      <c r="S2" s="309" t="s">
        <v>76</v>
      </c>
      <c r="T2" s="309" t="s">
        <v>77</v>
      </c>
      <c r="U2" s="310" t="s">
        <v>271</v>
      </c>
      <c r="V2" s="311" t="s">
        <v>479</v>
      </c>
      <c r="W2" s="312" t="s">
        <v>480</v>
      </c>
      <c r="X2" s="312" t="s">
        <v>481</v>
      </c>
      <c r="Y2" s="312" t="s">
        <v>482</v>
      </c>
      <c r="Z2" s="312" t="s">
        <v>483</v>
      </c>
      <c r="AA2" s="312" t="s">
        <v>484</v>
      </c>
      <c r="AB2" s="312" t="s">
        <v>485</v>
      </c>
      <c r="AC2" s="312" t="s">
        <v>239</v>
      </c>
      <c r="AD2" s="312" t="s">
        <v>486</v>
      </c>
      <c r="AE2" s="312" t="s">
        <v>487</v>
      </c>
      <c r="AF2" s="312" t="s">
        <v>488</v>
      </c>
      <c r="AG2" s="312" t="s">
        <v>489</v>
      </c>
      <c r="AH2" s="312" t="s">
        <v>490</v>
      </c>
      <c r="AI2" s="312" t="s">
        <v>491</v>
      </c>
      <c r="AJ2" s="313" t="s">
        <v>378</v>
      </c>
      <c r="AK2" s="314" t="s">
        <v>492</v>
      </c>
      <c r="AL2" s="315" t="s">
        <v>493</v>
      </c>
      <c r="AM2" s="315" t="s">
        <v>494</v>
      </c>
      <c r="AN2" s="315" t="s">
        <v>495</v>
      </c>
      <c r="AO2" s="315" t="s">
        <v>496</v>
      </c>
      <c r="AP2" s="315" t="s">
        <v>497</v>
      </c>
      <c r="AQ2" s="315" t="s">
        <v>498</v>
      </c>
      <c r="AR2" s="315" t="s">
        <v>499</v>
      </c>
      <c r="AS2" s="315" t="s">
        <v>500</v>
      </c>
      <c r="AT2" s="315" t="s">
        <v>501</v>
      </c>
      <c r="AU2" s="315" t="s">
        <v>502</v>
      </c>
      <c r="AV2" s="315" t="s">
        <v>503</v>
      </c>
      <c r="AW2" s="315" t="s">
        <v>504</v>
      </c>
      <c r="AX2" s="315" t="s">
        <v>505</v>
      </c>
      <c r="AY2" s="316" t="s">
        <v>506</v>
      </c>
      <c r="AZ2" s="199"/>
      <c r="BA2" s="317" t="s">
        <v>519</v>
      </c>
      <c r="BB2" s="199"/>
      <c r="BC2" s="318" t="s">
        <v>167</v>
      </c>
    </row>
    <row r="3" spans="1:55" ht="15.75" x14ac:dyDescent="0.25">
      <c r="A3" s="1425" t="s">
        <v>540</v>
      </c>
      <c r="B3" s="319" t="s">
        <v>321</v>
      </c>
      <c r="C3" s="320"/>
      <c r="D3" s="321">
        <v>30</v>
      </c>
      <c r="E3" s="322"/>
      <c r="F3" s="322"/>
      <c r="G3" s="322">
        <v>4</v>
      </c>
      <c r="H3" s="322"/>
      <c r="I3" s="322">
        <f>IF(COUNTIF(skill_select, "*Math*")&gt;0, 2, 0)+IF(COUNTIF(skill_select, "*Literacy*")&gt;0, 2, 0)</f>
        <v>0</v>
      </c>
      <c r="J3" s="322"/>
      <c r="K3" s="323"/>
      <c r="L3" s="324"/>
      <c r="M3" s="325"/>
      <c r="N3" s="325"/>
      <c r="O3" s="325"/>
      <c r="P3" s="325"/>
      <c r="Q3" s="325"/>
      <c r="R3" s="325"/>
      <c r="S3" s="325"/>
      <c r="T3" s="325"/>
      <c r="U3" s="326"/>
      <c r="V3" s="324"/>
      <c r="W3" s="325"/>
      <c r="X3" s="325"/>
      <c r="Y3" s="325"/>
      <c r="Z3" s="325"/>
      <c r="AA3" s="325"/>
      <c r="AB3" s="325"/>
      <c r="AC3" s="325"/>
      <c r="AD3" s="325"/>
      <c r="AE3" s="325"/>
      <c r="AF3" s="325"/>
      <c r="AG3" s="325"/>
      <c r="AH3" s="325"/>
      <c r="AI3" s="325"/>
      <c r="AJ3" s="326"/>
      <c r="AK3" s="324"/>
      <c r="AL3" s="325"/>
      <c r="AM3" s="325"/>
      <c r="AN3" s="325"/>
      <c r="AO3" s="325"/>
      <c r="AP3" s="325"/>
      <c r="AQ3" s="325"/>
      <c r="AR3" s="325"/>
      <c r="AS3" s="325"/>
      <c r="AT3" s="325"/>
      <c r="AU3" s="325"/>
      <c r="AV3" s="325"/>
      <c r="AW3" s="325"/>
      <c r="AX3" s="325"/>
      <c r="AY3" s="326"/>
      <c r="AZ3" s="199"/>
      <c r="BA3" s="327" t="s">
        <v>647</v>
      </c>
      <c r="BB3" s="199"/>
      <c r="BC3" s="328">
        <v>1</v>
      </c>
    </row>
    <row r="4" spans="1:55" ht="15.75" x14ac:dyDescent="0.25">
      <c r="A4" s="1426"/>
      <c r="B4" s="329" t="s">
        <v>322</v>
      </c>
      <c r="C4" s="330"/>
      <c r="D4" s="331">
        <v>30</v>
      </c>
      <c r="E4" s="332"/>
      <c r="F4" s="332"/>
      <c r="G4" s="332">
        <v>3</v>
      </c>
      <c r="H4" s="332"/>
      <c r="I4" s="332"/>
      <c r="J4" s="332"/>
      <c r="K4" s="333"/>
      <c r="L4" s="334"/>
      <c r="M4" s="335"/>
      <c r="N4" s="335"/>
      <c r="O4" s="335"/>
      <c r="P4" s="335"/>
      <c r="Q4" s="335"/>
      <c r="R4" s="335"/>
      <c r="S4" s="335"/>
      <c r="T4" s="335"/>
      <c r="U4" s="336"/>
      <c r="V4" s="334"/>
      <c r="W4" s="335"/>
      <c r="X4" s="335"/>
      <c r="Y4" s="335"/>
      <c r="Z4" s="335"/>
      <c r="AA4" s="335"/>
      <c r="AB4" s="335"/>
      <c r="AC4" s="335"/>
      <c r="AD4" s="335"/>
      <c r="AE4" s="335"/>
      <c r="AF4" s="335"/>
      <c r="AG4" s="335"/>
      <c r="AH4" s="335"/>
      <c r="AI4" s="335"/>
      <c r="AJ4" s="336"/>
      <c r="AK4" s="334"/>
      <c r="AL4" s="335"/>
      <c r="AM4" s="335"/>
      <c r="AN4" s="335"/>
      <c r="AO4" s="335"/>
      <c r="AP4" s="335"/>
      <c r="AQ4" s="335"/>
      <c r="AR4" s="335"/>
      <c r="AS4" s="335"/>
      <c r="AT4" s="335"/>
      <c r="AU4" s="335"/>
      <c r="AV4" s="335"/>
      <c r="AW4" s="335"/>
      <c r="AX4" s="335"/>
      <c r="AY4" s="336"/>
      <c r="AZ4" s="199"/>
      <c r="BA4" s="335" t="s">
        <v>514</v>
      </c>
      <c r="BB4" s="199"/>
      <c r="BC4" s="328">
        <v>2</v>
      </c>
    </row>
    <row r="5" spans="1:55" ht="15.75" x14ac:dyDescent="0.25">
      <c r="A5" s="1426"/>
      <c r="B5" s="329" t="s">
        <v>323</v>
      </c>
      <c r="C5" s="330"/>
      <c r="D5" s="331">
        <v>20</v>
      </c>
      <c r="E5" s="332"/>
      <c r="F5" s="332"/>
      <c r="G5" s="332">
        <v>4</v>
      </c>
      <c r="H5" s="332"/>
      <c r="I5" s="332"/>
      <c r="J5" s="332"/>
      <c r="K5" s="333"/>
      <c r="L5" s="334"/>
      <c r="M5" s="335"/>
      <c r="N5" s="335"/>
      <c r="O5" s="335"/>
      <c r="P5" s="335"/>
      <c r="Q5" s="335"/>
      <c r="R5" s="335"/>
      <c r="S5" s="335"/>
      <c r="T5" s="335"/>
      <c r="U5" s="336"/>
      <c r="V5" s="334"/>
      <c r="W5" s="335"/>
      <c r="X5" s="335"/>
      <c r="Y5" s="335"/>
      <c r="Z5" s="335"/>
      <c r="AA5" s="335"/>
      <c r="AB5" s="335"/>
      <c r="AC5" s="335"/>
      <c r="AD5" s="335"/>
      <c r="AE5" s="335"/>
      <c r="AF5" s="335"/>
      <c r="AG5" s="335"/>
      <c r="AH5" s="335"/>
      <c r="AI5" s="335"/>
      <c r="AJ5" s="336"/>
      <c r="AK5" s="334"/>
      <c r="AL5" s="335"/>
      <c r="AM5" s="335"/>
      <c r="AN5" s="335"/>
      <c r="AO5" s="335"/>
      <c r="AP5" s="335"/>
      <c r="AQ5" s="335"/>
      <c r="AR5" s="335"/>
      <c r="AS5" s="335"/>
      <c r="AT5" s="335"/>
      <c r="AU5" s="335"/>
      <c r="AV5" s="335"/>
      <c r="AW5" s="335"/>
      <c r="AX5" s="335"/>
      <c r="AY5" s="336"/>
      <c r="AZ5" s="199"/>
      <c r="BA5" s="335" t="s">
        <v>335</v>
      </c>
      <c r="BB5" s="199"/>
      <c r="BC5" s="328">
        <v>3</v>
      </c>
    </row>
    <row r="6" spans="1:55" ht="15.75" x14ac:dyDescent="0.25">
      <c r="A6" s="1426"/>
      <c r="B6" s="329" t="str">
        <f>IF(K6&gt;0, "Cryptography", "(Needs Prerequisite)")</f>
        <v>(Needs Prerequisite)</v>
      </c>
      <c r="C6" s="330" t="s">
        <v>328</v>
      </c>
      <c r="D6" s="331">
        <v>15</v>
      </c>
      <c r="E6" s="332"/>
      <c r="F6" s="332"/>
      <c r="G6" s="332">
        <v>5</v>
      </c>
      <c r="H6" s="332"/>
      <c r="I6" s="332"/>
      <c r="J6" s="332"/>
      <c r="K6" s="333">
        <f>COUNTIF(skill_select, "*Literacy*")</f>
        <v>0</v>
      </c>
      <c r="L6" s="334"/>
      <c r="M6" s="335"/>
      <c r="N6" s="335"/>
      <c r="O6" s="335"/>
      <c r="P6" s="335"/>
      <c r="Q6" s="335"/>
      <c r="R6" s="335"/>
      <c r="S6" s="335"/>
      <c r="T6" s="335"/>
      <c r="U6" s="336"/>
      <c r="V6" s="334"/>
      <c r="W6" s="335"/>
      <c r="X6" s="335"/>
      <c r="Y6" s="335"/>
      <c r="Z6" s="335"/>
      <c r="AA6" s="335"/>
      <c r="AB6" s="335"/>
      <c r="AC6" s="335"/>
      <c r="AD6" s="335"/>
      <c r="AE6" s="335"/>
      <c r="AF6" s="335"/>
      <c r="AG6" s="335"/>
      <c r="AH6" s="335"/>
      <c r="AI6" s="335"/>
      <c r="AJ6" s="336"/>
      <c r="AK6" s="334"/>
      <c r="AL6" s="335"/>
      <c r="AM6" s="335"/>
      <c r="AN6" s="335"/>
      <c r="AO6" s="335"/>
      <c r="AP6" s="335"/>
      <c r="AQ6" s="335"/>
      <c r="AR6" s="335"/>
      <c r="AS6" s="335"/>
      <c r="AT6" s="335"/>
      <c r="AU6" s="335"/>
      <c r="AV6" s="335"/>
      <c r="AW6" s="335"/>
      <c r="AX6" s="335"/>
      <c r="AY6" s="336"/>
      <c r="AZ6" s="199"/>
      <c r="BA6" s="335" t="s">
        <v>339</v>
      </c>
      <c r="BB6" s="199"/>
      <c r="BC6" s="328">
        <v>4</v>
      </c>
    </row>
    <row r="7" spans="1:55" ht="15.75" x14ac:dyDescent="0.25">
      <c r="A7" s="1426"/>
      <c r="B7" s="329" t="s">
        <v>324</v>
      </c>
      <c r="C7" s="330"/>
      <c r="D7" s="331">
        <v>30</v>
      </c>
      <c r="E7" s="332"/>
      <c r="F7" s="332"/>
      <c r="G7" s="332">
        <v>5</v>
      </c>
      <c r="H7" s="332"/>
      <c r="I7" s="332">
        <f>IF(COUNTIF(skill_select, "*Dance*")&gt;1, 10, 0)+IF(COUNTIF(skill_select, "*Seduction*")&gt;0, 5, 0)</f>
        <v>0</v>
      </c>
      <c r="J7" s="332"/>
      <c r="K7" s="333"/>
      <c r="L7" s="334"/>
      <c r="M7" s="335"/>
      <c r="N7" s="335"/>
      <c r="O7" s="335"/>
      <c r="P7" s="335"/>
      <c r="Q7" s="335"/>
      <c r="R7" s="335"/>
      <c r="S7" s="335"/>
      <c r="T7" s="335"/>
      <c r="U7" s="336"/>
      <c r="V7" s="334"/>
      <c r="W7" s="335"/>
      <c r="X7" s="335"/>
      <c r="Y7" s="335"/>
      <c r="Z7" s="335"/>
      <c r="AA7" s="335"/>
      <c r="AB7" s="335"/>
      <c r="AC7" s="335"/>
      <c r="AD7" s="335"/>
      <c r="AE7" s="335"/>
      <c r="AF7" s="335"/>
      <c r="AG7" s="335"/>
      <c r="AH7" s="335"/>
      <c r="AI7" s="335"/>
      <c r="AJ7" s="336"/>
      <c r="AK7" s="334"/>
      <c r="AL7" s="335"/>
      <c r="AM7" s="335"/>
      <c r="AN7" s="335"/>
      <c r="AO7" s="335"/>
      <c r="AP7" s="335"/>
      <c r="AQ7" s="335"/>
      <c r="AR7" s="335"/>
      <c r="AS7" s="335"/>
      <c r="AT7" s="335"/>
      <c r="AU7" s="335"/>
      <c r="AV7" s="335"/>
      <c r="AW7" s="335"/>
      <c r="AX7" s="335"/>
      <c r="AY7" s="336"/>
      <c r="AZ7" s="199"/>
      <c r="BA7" s="335" t="s">
        <v>351</v>
      </c>
      <c r="BB7" s="199"/>
      <c r="BC7" s="328">
        <v>5</v>
      </c>
    </row>
    <row r="8" spans="1:55" ht="15.75" x14ac:dyDescent="0.25">
      <c r="A8" s="1426"/>
      <c r="B8" s="329" t="s">
        <v>325</v>
      </c>
      <c r="C8" s="330"/>
      <c r="D8" s="331">
        <v>18</v>
      </c>
      <c r="E8" s="332"/>
      <c r="F8" s="332"/>
      <c r="G8" s="332">
        <v>6</v>
      </c>
      <c r="H8" s="332"/>
      <c r="I8" s="332"/>
      <c r="J8" s="332"/>
      <c r="K8" s="333"/>
      <c r="L8" s="334"/>
      <c r="M8" s="335"/>
      <c r="N8" s="335"/>
      <c r="O8" s="335"/>
      <c r="P8" s="335"/>
      <c r="Q8" s="335"/>
      <c r="R8" s="335"/>
      <c r="S8" s="335"/>
      <c r="T8" s="335"/>
      <c r="U8" s="336"/>
      <c r="V8" s="334"/>
      <c r="W8" s="335"/>
      <c r="X8" s="335"/>
      <c r="Y8" s="335"/>
      <c r="Z8" s="335"/>
      <c r="AA8" s="335"/>
      <c r="AB8" s="335"/>
      <c r="AC8" s="335"/>
      <c r="AD8" s="335"/>
      <c r="AE8" s="335"/>
      <c r="AF8" s="335"/>
      <c r="AG8" s="335"/>
      <c r="AH8" s="335"/>
      <c r="AI8" s="335"/>
      <c r="AJ8" s="336"/>
      <c r="AK8" s="334"/>
      <c r="AL8" s="335"/>
      <c r="AM8" s="335"/>
      <c r="AN8" s="335"/>
      <c r="AO8" s="335"/>
      <c r="AP8" s="335"/>
      <c r="AQ8" s="335"/>
      <c r="AR8" s="335"/>
      <c r="AS8" s="335"/>
      <c r="AT8" s="335"/>
      <c r="AU8" s="335"/>
      <c r="AV8" s="335"/>
      <c r="AW8" s="335"/>
      <c r="AX8" s="335"/>
      <c r="AY8" s="336"/>
      <c r="AZ8" s="199"/>
      <c r="BA8" s="335" t="s">
        <v>327</v>
      </c>
      <c r="BB8" s="199"/>
      <c r="BC8" s="328">
        <v>6</v>
      </c>
    </row>
    <row r="9" spans="1:55" ht="15.75" x14ac:dyDescent="0.25">
      <c r="A9" s="1426"/>
      <c r="B9" s="329" t="s">
        <v>326</v>
      </c>
      <c r="C9" s="330"/>
      <c r="D9" s="331">
        <v>28</v>
      </c>
      <c r="E9" s="332"/>
      <c r="F9" s="332"/>
      <c r="G9" s="332">
        <v>3</v>
      </c>
      <c r="H9" s="332"/>
      <c r="I9" s="332"/>
      <c r="J9" s="332"/>
      <c r="K9" s="333"/>
      <c r="L9" s="334"/>
      <c r="M9" s="335"/>
      <c r="N9" s="335"/>
      <c r="O9" s="335"/>
      <c r="P9" s="335"/>
      <c r="Q9" s="335"/>
      <c r="R9" s="335"/>
      <c r="S9" s="335"/>
      <c r="T9" s="335"/>
      <c r="U9" s="336"/>
      <c r="V9" s="334"/>
      <c r="W9" s="335"/>
      <c r="X9" s="335"/>
      <c r="Y9" s="335"/>
      <c r="Z9" s="335"/>
      <c r="AA9" s="335"/>
      <c r="AB9" s="335"/>
      <c r="AC9" s="335"/>
      <c r="AD9" s="335"/>
      <c r="AE9" s="335"/>
      <c r="AF9" s="335"/>
      <c r="AG9" s="335"/>
      <c r="AH9" s="335"/>
      <c r="AI9" s="335"/>
      <c r="AJ9" s="336"/>
      <c r="AK9" s="334"/>
      <c r="AL9" s="335"/>
      <c r="AM9" s="335"/>
      <c r="AN9" s="335"/>
      <c r="AO9" s="335"/>
      <c r="AP9" s="335"/>
      <c r="AQ9" s="335"/>
      <c r="AR9" s="335"/>
      <c r="AS9" s="335"/>
      <c r="AT9" s="335"/>
      <c r="AU9" s="335"/>
      <c r="AV9" s="335"/>
      <c r="AW9" s="335"/>
      <c r="AX9" s="335"/>
      <c r="AY9" s="336"/>
      <c r="AZ9" s="199"/>
      <c r="BA9" s="335" t="s">
        <v>328</v>
      </c>
      <c r="BB9" s="199"/>
      <c r="BC9" s="328">
        <v>7</v>
      </c>
    </row>
    <row r="10" spans="1:55" ht="15.75" x14ac:dyDescent="0.25">
      <c r="A10" s="1426"/>
      <c r="B10" s="329" t="s">
        <v>329</v>
      </c>
      <c r="C10" s="330"/>
      <c r="D10" s="331">
        <v>30</v>
      </c>
      <c r="E10" s="332"/>
      <c r="F10" s="332"/>
      <c r="G10" s="332">
        <v>5</v>
      </c>
      <c r="H10" s="332"/>
      <c r="I10" s="332"/>
      <c r="J10" s="332"/>
      <c r="K10" s="333"/>
      <c r="L10" s="334"/>
      <c r="M10" s="335"/>
      <c r="N10" s="335"/>
      <c r="O10" s="335"/>
      <c r="P10" s="335"/>
      <c r="Q10" s="335"/>
      <c r="R10" s="335"/>
      <c r="S10" s="335"/>
      <c r="T10" s="335"/>
      <c r="U10" s="336"/>
      <c r="V10" s="334"/>
      <c r="W10" s="335"/>
      <c r="X10" s="335"/>
      <c r="Y10" s="335"/>
      <c r="Z10" s="335"/>
      <c r="AA10" s="335"/>
      <c r="AB10" s="335"/>
      <c r="AC10" s="335"/>
      <c r="AD10" s="335"/>
      <c r="AE10" s="335"/>
      <c r="AF10" s="335"/>
      <c r="AG10" s="335"/>
      <c r="AH10" s="335"/>
      <c r="AI10" s="335"/>
      <c r="AJ10" s="336"/>
      <c r="AK10" s="334"/>
      <c r="AL10" s="335"/>
      <c r="AM10" s="335"/>
      <c r="AN10" s="335"/>
      <c r="AO10" s="335"/>
      <c r="AP10" s="335"/>
      <c r="AQ10" s="335"/>
      <c r="AR10" s="335"/>
      <c r="AS10" s="335"/>
      <c r="AT10" s="335"/>
      <c r="AU10" s="335"/>
      <c r="AV10" s="335"/>
      <c r="AW10" s="335"/>
      <c r="AX10" s="335"/>
      <c r="AY10" s="336"/>
      <c r="AZ10" s="199"/>
      <c r="BA10" s="335" t="s">
        <v>520</v>
      </c>
      <c r="BB10" s="199"/>
      <c r="BC10" s="328">
        <v>8</v>
      </c>
    </row>
    <row r="11" spans="1:55" ht="15.75" x14ac:dyDescent="0.25">
      <c r="A11" s="1426"/>
      <c r="B11" s="329" t="s">
        <v>330</v>
      </c>
      <c r="C11" s="330"/>
      <c r="D11" s="331">
        <v>25</v>
      </c>
      <c r="E11" s="332"/>
      <c r="F11" s="332"/>
      <c r="G11" s="332">
        <v>5</v>
      </c>
      <c r="H11" s="332"/>
      <c r="I11" s="332">
        <f>IF(COUNTIF(skill_select, "*Play Musical Instrument*")&gt;1, 10, 0)</f>
        <v>0</v>
      </c>
      <c r="J11" s="332"/>
      <c r="K11" s="333"/>
      <c r="L11" s="334"/>
      <c r="M11" s="335"/>
      <c r="N11" s="335"/>
      <c r="O11" s="335"/>
      <c r="P11" s="335"/>
      <c r="Q11" s="335"/>
      <c r="R11" s="335"/>
      <c r="S11" s="335"/>
      <c r="T11" s="335"/>
      <c r="U11" s="336"/>
      <c r="V11" s="334"/>
      <c r="W11" s="335"/>
      <c r="X11" s="335"/>
      <c r="Y11" s="335"/>
      <c r="Z11" s="335"/>
      <c r="AA11" s="335"/>
      <c r="AB11" s="335"/>
      <c r="AC11" s="335"/>
      <c r="AD11" s="335"/>
      <c r="AE11" s="335"/>
      <c r="AF11" s="335"/>
      <c r="AG11" s="335"/>
      <c r="AH11" s="335"/>
      <c r="AI11" s="335"/>
      <c r="AJ11" s="336"/>
      <c r="AK11" s="334"/>
      <c r="AL11" s="335"/>
      <c r="AM11" s="335"/>
      <c r="AN11" s="335"/>
      <c r="AO11" s="335"/>
      <c r="AP11" s="335"/>
      <c r="AQ11" s="335"/>
      <c r="AR11" s="335"/>
      <c r="AS11" s="335"/>
      <c r="AT11" s="335"/>
      <c r="AU11" s="335"/>
      <c r="AV11" s="335"/>
      <c r="AW11" s="335"/>
      <c r="AX11" s="335"/>
      <c r="AY11" s="336"/>
      <c r="AZ11" s="199"/>
      <c r="BA11" s="335" t="s">
        <v>356</v>
      </c>
      <c r="BB11" s="199"/>
      <c r="BC11" s="328">
        <v>9</v>
      </c>
    </row>
    <row r="12" spans="1:55" ht="15.75" x14ac:dyDescent="0.25">
      <c r="A12" s="1426"/>
      <c r="B12" s="329" t="s">
        <v>331</v>
      </c>
      <c r="C12" s="330"/>
      <c r="D12" s="331">
        <v>30</v>
      </c>
      <c r="E12" s="332"/>
      <c r="F12" s="332"/>
      <c r="G12" s="332">
        <v>5</v>
      </c>
      <c r="H12" s="332">
        <f>IF(total_pb&gt;30, 5, 0)+IF(total_ma&gt;30, 10, 0)</f>
        <v>0</v>
      </c>
      <c r="I12" s="332"/>
      <c r="J12" s="332"/>
      <c r="K12" s="333"/>
      <c r="L12" s="334"/>
      <c r="M12" s="335"/>
      <c r="N12" s="335"/>
      <c r="O12" s="335"/>
      <c r="P12" s="335"/>
      <c r="Q12" s="335"/>
      <c r="R12" s="335"/>
      <c r="S12" s="335"/>
      <c r="T12" s="335"/>
      <c r="U12" s="336"/>
      <c r="V12" s="334"/>
      <c r="W12" s="335"/>
      <c r="X12" s="335"/>
      <c r="Y12" s="335"/>
      <c r="Z12" s="335"/>
      <c r="AA12" s="335"/>
      <c r="AB12" s="335"/>
      <c r="AC12" s="335"/>
      <c r="AD12" s="335"/>
      <c r="AE12" s="335"/>
      <c r="AF12" s="335"/>
      <c r="AG12" s="335"/>
      <c r="AH12" s="335"/>
      <c r="AI12" s="335"/>
      <c r="AJ12" s="336"/>
      <c r="AK12" s="334"/>
      <c r="AL12" s="335"/>
      <c r="AM12" s="335"/>
      <c r="AN12" s="335"/>
      <c r="AO12" s="335"/>
      <c r="AP12" s="335"/>
      <c r="AQ12" s="335"/>
      <c r="AR12" s="335"/>
      <c r="AS12" s="335"/>
      <c r="AT12" s="335"/>
      <c r="AU12" s="335"/>
      <c r="AV12" s="335"/>
      <c r="AW12" s="335"/>
      <c r="AX12" s="335"/>
      <c r="AY12" s="336"/>
      <c r="AZ12" s="199"/>
      <c r="BA12" s="335" t="s">
        <v>362</v>
      </c>
      <c r="BB12" s="199"/>
      <c r="BC12" s="328">
        <v>10</v>
      </c>
    </row>
    <row r="13" spans="1:55" ht="15.75" x14ac:dyDescent="0.25">
      <c r="A13" s="1426"/>
      <c r="B13" s="329" t="s">
        <v>332</v>
      </c>
      <c r="C13" s="330"/>
      <c r="D13" s="331">
        <v>30</v>
      </c>
      <c r="E13" s="332"/>
      <c r="F13" s="332"/>
      <c r="G13" s="332">
        <v>5</v>
      </c>
      <c r="H13" s="332">
        <f>IF(total_ma&gt;30, 10, 0)</f>
        <v>0</v>
      </c>
      <c r="I13" s="332">
        <f>IF(COUNTIF(skill_select, "*Sing*")&gt;1, 10, 0)+IF(COUNTIF(skill_select, "*Seduction*")&gt;0, 5, 0)</f>
        <v>0</v>
      </c>
      <c r="J13" s="332"/>
      <c r="K13" s="333"/>
      <c r="L13" s="334"/>
      <c r="M13" s="335"/>
      <c r="N13" s="335"/>
      <c r="O13" s="335"/>
      <c r="P13" s="335"/>
      <c r="Q13" s="335"/>
      <c r="R13" s="335"/>
      <c r="S13" s="335"/>
      <c r="T13" s="335"/>
      <c r="U13" s="336"/>
      <c r="V13" s="334"/>
      <c r="W13" s="335"/>
      <c r="X13" s="335"/>
      <c r="Y13" s="335"/>
      <c r="Z13" s="335"/>
      <c r="AA13" s="335"/>
      <c r="AB13" s="335"/>
      <c r="AC13" s="335"/>
      <c r="AD13" s="335"/>
      <c r="AE13" s="335"/>
      <c r="AF13" s="335"/>
      <c r="AG13" s="335"/>
      <c r="AH13" s="335"/>
      <c r="AI13" s="335"/>
      <c r="AJ13" s="336"/>
      <c r="AK13" s="334"/>
      <c r="AL13" s="335"/>
      <c r="AM13" s="335"/>
      <c r="AN13" s="335"/>
      <c r="AO13" s="335"/>
      <c r="AP13" s="335"/>
      <c r="AQ13" s="335"/>
      <c r="AR13" s="335"/>
      <c r="AS13" s="335"/>
      <c r="AT13" s="335"/>
      <c r="AU13" s="335"/>
      <c r="AV13" s="335"/>
      <c r="AW13" s="335"/>
      <c r="AX13" s="335"/>
      <c r="AY13" s="336"/>
      <c r="AZ13" s="199"/>
      <c r="BA13" s="335" t="s">
        <v>515</v>
      </c>
      <c r="BB13" s="199"/>
      <c r="BC13" s="328">
        <v>11</v>
      </c>
    </row>
    <row r="14" spans="1:55" ht="16.5" thickBot="1" x14ac:dyDescent="0.3">
      <c r="A14" s="1427"/>
      <c r="B14" s="337" t="str">
        <f>IF(K14&gt;0, "Writing", "(Needs Prerequisite)")</f>
        <v>(Needs Prerequisite)</v>
      </c>
      <c r="C14" s="338" t="s">
        <v>328</v>
      </c>
      <c r="D14" s="339">
        <v>20</v>
      </c>
      <c r="E14" s="340"/>
      <c r="F14" s="340"/>
      <c r="G14" s="340">
        <v>5</v>
      </c>
      <c r="H14" s="340"/>
      <c r="I14" s="340"/>
      <c r="J14" s="340"/>
      <c r="K14" s="341">
        <f>COUNTIF(skill_select, "*Literacy*")</f>
        <v>0</v>
      </c>
      <c r="L14" s="342"/>
      <c r="M14" s="343"/>
      <c r="N14" s="343"/>
      <c r="O14" s="343"/>
      <c r="P14" s="343"/>
      <c r="Q14" s="343"/>
      <c r="R14" s="343"/>
      <c r="S14" s="343"/>
      <c r="T14" s="343"/>
      <c r="U14" s="344"/>
      <c r="V14" s="342"/>
      <c r="W14" s="343"/>
      <c r="X14" s="343"/>
      <c r="Y14" s="343"/>
      <c r="Z14" s="343"/>
      <c r="AA14" s="343"/>
      <c r="AB14" s="343"/>
      <c r="AC14" s="343"/>
      <c r="AD14" s="343"/>
      <c r="AE14" s="343"/>
      <c r="AF14" s="343"/>
      <c r="AG14" s="343"/>
      <c r="AH14" s="343"/>
      <c r="AI14" s="343"/>
      <c r="AJ14" s="344"/>
      <c r="AK14" s="342"/>
      <c r="AL14" s="343"/>
      <c r="AM14" s="343"/>
      <c r="AN14" s="343"/>
      <c r="AO14" s="343"/>
      <c r="AP14" s="343"/>
      <c r="AQ14" s="343"/>
      <c r="AR14" s="343"/>
      <c r="AS14" s="343"/>
      <c r="AT14" s="343"/>
      <c r="AU14" s="343"/>
      <c r="AV14" s="343"/>
      <c r="AW14" s="343"/>
      <c r="AX14" s="343"/>
      <c r="AY14" s="344"/>
      <c r="AZ14" s="199"/>
      <c r="BA14" s="335" t="s">
        <v>380</v>
      </c>
      <c r="BB14" s="199"/>
      <c r="BC14" s="328">
        <v>12</v>
      </c>
    </row>
    <row r="15" spans="1:55" ht="15.75" x14ac:dyDescent="0.25">
      <c r="A15" s="1428" t="s">
        <v>335</v>
      </c>
      <c r="B15" s="319" t="s">
        <v>334</v>
      </c>
      <c r="C15" s="320"/>
      <c r="D15" s="321">
        <v>30</v>
      </c>
      <c r="E15" s="322"/>
      <c r="F15" s="322"/>
      <c r="G15" s="322">
        <v>5</v>
      </c>
      <c r="H15" s="322"/>
      <c r="I15" s="322">
        <f>IF(COUNTIF(skill_select, "*Cook*")&gt;1, 10, 0)+IF(COUNTIF(skill_select, "*Holistic Chemistry*")&gt;0, 5, 0)+IF(COUNTIF(skill_select, "*Hunting*")&gt;0, 5, 0)</f>
        <v>0</v>
      </c>
      <c r="J15" s="322"/>
      <c r="K15" s="323"/>
      <c r="L15" s="324"/>
      <c r="M15" s="325"/>
      <c r="N15" s="325"/>
      <c r="O15" s="325"/>
      <c r="P15" s="325"/>
      <c r="Q15" s="325"/>
      <c r="R15" s="325"/>
      <c r="S15" s="325"/>
      <c r="T15" s="325"/>
      <c r="U15" s="326"/>
      <c r="V15" s="324"/>
      <c r="W15" s="325"/>
      <c r="X15" s="325"/>
      <c r="Y15" s="325"/>
      <c r="Z15" s="325"/>
      <c r="AA15" s="325"/>
      <c r="AB15" s="325"/>
      <c r="AC15" s="325"/>
      <c r="AD15" s="325"/>
      <c r="AE15" s="325"/>
      <c r="AF15" s="325"/>
      <c r="AG15" s="325"/>
      <c r="AH15" s="325"/>
      <c r="AI15" s="325"/>
      <c r="AJ15" s="326"/>
      <c r="AK15" s="324"/>
      <c r="AL15" s="325"/>
      <c r="AM15" s="325"/>
      <c r="AN15" s="325"/>
      <c r="AO15" s="325"/>
      <c r="AP15" s="325"/>
      <c r="AQ15" s="325"/>
      <c r="AR15" s="325"/>
      <c r="AS15" s="325"/>
      <c r="AT15" s="325"/>
      <c r="AU15" s="325"/>
      <c r="AV15" s="325"/>
      <c r="AW15" s="325"/>
      <c r="AX15" s="325"/>
      <c r="AY15" s="326"/>
      <c r="AZ15" s="199"/>
      <c r="BA15" s="335" t="s">
        <v>516</v>
      </c>
      <c r="BB15" s="199"/>
      <c r="BC15" s="328">
        <v>13</v>
      </c>
    </row>
    <row r="16" spans="1:55" ht="15.75" x14ac:dyDescent="0.25">
      <c r="A16" s="1429"/>
      <c r="B16" s="329" t="s">
        <v>324</v>
      </c>
      <c r="C16" s="330"/>
      <c r="D16" s="331">
        <v>30</v>
      </c>
      <c r="E16" s="332"/>
      <c r="F16" s="332"/>
      <c r="G16" s="332">
        <v>5</v>
      </c>
      <c r="H16" s="332"/>
      <c r="I16" s="332">
        <f>IF(COUNTIF(skill_select, "*Dance*")&gt;1, 10, 0)+IF(COUNTIF(skill_select, "*Seduction*")&gt;0, 5, 0)</f>
        <v>0</v>
      </c>
      <c r="J16" s="332"/>
      <c r="K16" s="333"/>
      <c r="L16" s="334"/>
      <c r="M16" s="335"/>
      <c r="N16" s="335"/>
      <c r="O16" s="335"/>
      <c r="P16" s="335"/>
      <c r="Q16" s="335"/>
      <c r="R16" s="335"/>
      <c r="S16" s="335"/>
      <c r="T16" s="335"/>
      <c r="U16" s="336"/>
      <c r="V16" s="334"/>
      <c r="W16" s="335"/>
      <c r="X16" s="335"/>
      <c r="Y16" s="335"/>
      <c r="Z16" s="335"/>
      <c r="AA16" s="335"/>
      <c r="AB16" s="335"/>
      <c r="AC16" s="335"/>
      <c r="AD16" s="335"/>
      <c r="AE16" s="335"/>
      <c r="AF16" s="335"/>
      <c r="AG16" s="335"/>
      <c r="AH16" s="335"/>
      <c r="AI16" s="335"/>
      <c r="AJ16" s="336"/>
      <c r="AK16" s="334"/>
      <c r="AL16" s="335"/>
      <c r="AM16" s="335"/>
      <c r="AN16" s="335"/>
      <c r="AO16" s="335"/>
      <c r="AP16" s="335"/>
      <c r="AQ16" s="335"/>
      <c r="AR16" s="335"/>
      <c r="AS16" s="335"/>
      <c r="AT16" s="335"/>
      <c r="AU16" s="335"/>
      <c r="AV16" s="335"/>
      <c r="AW16" s="335"/>
      <c r="AX16" s="335"/>
      <c r="AY16" s="336"/>
      <c r="AZ16" s="199"/>
      <c r="BA16" s="335" t="s">
        <v>439</v>
      </c>
      <c r="BB16" s="199"/>
      <c r="BC16" s="328">
        <v>14</v>
      </c>
    </row>
    <row r="17" spans="1:55" ht="15.75" x14ac:dyDescent="0.25">
      <c r="A17" s="1429"/>
      <c r="B17" s="329" t="s">
        <v>336</v>
      </c>
      <c r="C17" s="330"/>
      <c r="D17" s="331">
        <v>30</v>
      </c>
      <c r="E17" s="332"/>
      <c r="F17" s="332"/>
      <c r="G17" s="332">
        <v>5</v>
      </c>
      <c r="H17" s="332"/>
      <c r="I17" s="332">
        <f>IF(COUNTIF(skill_select, "*Fishing*")&gt;1, 10, 0)</f>
        <v>0</v>
      </c>
      <c r="J17" s="332"/>
      <c r="K17" s="333"/>
      <c r="L17" s="334"/>
      <c r="M17" s="335"/>
      <c r="N17" s="335"/>
      <c r="O17" s="335"/>
      <c r="P17" s="335"/>
      <c r="Q17" s="335"/>
      <c r="R17" s="335"/>
      <c r="S17" s="335"/>
      <c r="T17" s="335"/>
      <c r="U17" s="336"/>
      <c r="V17" s="334"/>
      <c r="W17" s="335"/>
      <c r="X17" s="335"/>
      <c r="Y17" s="335"/>
      <c r="Z17" s="335"/>
      <c r="AA17" s="335"/>
      <c r="AB17" s="335"/>
      <c r="AC17" s="335"/>
      <c r="AD17" s="335"/>
      <c r="AE17" s="335"/>
      <c r="AF17" s="335"/>
      <c r="AG17" s="335"/>
      <c r="AH17" s="335"/>
      <c r="AI17" s="335"/>
      <c r="AJ17" s="336"/>
      <c r="AK17" s="334"/>
      <c r="AL17" s="335"/>
      <c r="AM17" s="335"/>
      <c r="AN17" s="335"/>
      <c r="AO17" s="335"/>
      <c r="AP17" s="335"/>
      <c r="AQ17" s="335"/>
      <c r="AR17" s="335"/>
      <c r="AS17" s="335"/>
      <c r="AT17" s="335"/>
      <c r="AU17" s="335"/>
      <c r="AV17" s="335"/>
      <c r="AW17" s="335"/>
      <c r="AX17" s="335"/>
      <c r="AY17" s="336"/>
      <c r="AZ17" s="199"/>
      <c r="BA17" s="335" t="s">
        <v>517</v>
      </c>
      <c r="BB17" s="199"/>
      <c r="BC17" s="328">
        <v>15</v>
      </c>
    </row>
    <row r="18" spans="1:55" ht="15.75" x14ac:dyDescent="0.25">
      <c r="A18" s="1429"/>
      <c r="B18" s="329" t="s">
        <v>330</v>
      </c>
      <c r="C18" s="330"/>
      <c r="D18" s="331">
        <v>25</v>
      </c>
      <c r="E18" s="332"/>
      <c r="F18" s="332"/>
      <c r="G18" s="332">
        <v>5</v>
      </c>
      <c r="H18" s="332"/>
      <c r="I18" s="332">
        <f>IF(COUNTIF(skill_select, "*Play Musical Instrument*")&gt;1, 10, 0)</f>
        <v>0</v>
      </c>
      <c r="J18" s="332"/>
      <c r="K18" s="333"/>
      <c r="L18" s="334"/>
      <c r="M18" s="335"/>
      <c r="N18" s="335"/>
      <c r="O18" s="335"/>
      <c r="P18" s="335"/>
      <c r="Q18" s="335"/>
      <c r="R18" s="335"/>
      <c r="S18" s="335"/>
      <c r="T18" s="335"/>
      <c r="U18" s="336"/>
      <c r="V18" s="334"/>
      <c r="W18" s="335"/>
      <c r="X18" s="335"/>
      <c r="Y18" s="335"/>
      <c r="Z18" s="335"/>
      <c r="AA18" s="335"/>
      <c r="AB18" s="335"/>
      <c r="AC18" s="335"/>
      <c r="AD18" s="335"/>
      <c r="AE18" s="335"/>
      <c r="AF18" s="335"/>
      <c r="AG18" s="335"/>
      <c r="AH18" s="335"/>
      <c r="AI18" s="335"/>
      <c r="AJ18" s="336"/>
      <c r="AK18" s="334"/>
      <c r="AL18" s="335"/>
      <c r="AM18" s="335"/>
      <c r="AN18" s="335"/>
      <c r="AO18" s="335"/>
      <c r="AP18" s="335"/>
      <c r="AQ18" s="335"/>
      <c r="AR18" s="335"/>
      <c r="AS18" s="335"/>
      <c r="AT18" s="335"/>
      <c r="AU18" s="335"/>
      <c r="AV18" s="335"/>
      <c r="AW18" s="335"/>
      <c r="AX18" s="335"/>
      <c r="AY18" s="336"/>
      <c r="AZ18" s="199"/>
      <c r="BA18" s="335" t="s">
        <v>518</v>
      </c>
      <c r="BB18" s="199"/>
      <c r="BC18" s="199"/>
    </row>
    <row r="19" spans="1:55" ht="15.75" x14ac:dyDescent="0.25">
      <c r="A19" s="1429"/>
      <c r="B19" s="329" t="s">
        <v>337</v>
      </c>
      <c r="C19" s="330"/>
      <c r="D19" s="331">
        <v>25</v>
      </c>
      <c r="E19" s="332"/>
      <c r="F19" s="332"/>
      <c r="G19" s="332">
        <v>5</v>
      </c>
      <c r="H19" s="332"/>
      <c r="I19" s="332">
        <f>IF(COUNTIF(skill_select, "*Sew*")&gt;1, 10, 0)+IF(COUNTIF(skill_select, "*Skin &amp; Prepare Animal Hides*")&gt;0, 5, 0)</f>
        <v>0</v>
      </c>
      <c r="J19" s="332"/>
      <c r="K19" s="333"/>
      <c r="L19" s="334"/>
      <c r="M19" s="335"/>
      <c r="N19" s="335"/>
      <c r="O19" s="335"/>
      <c r="P19" s="335"/>
      <c r="Q19" s="335"/>
      <c r="R19" s="335"/>
      <c r="S19" s="335"/>
      <c r="T19" s="335"/>
      <c r="U19" s="336"/>
      <c r="V19" s="334"/>
      <c r="W19" s="335"/>
      <c r="X19" s="335"/>
      <c r="Y19" s="335"/>
      <c r="Z19" s="335"/>
      <c r="AA19" s="335"/>
      <c r="AB19" s="335"/>
      <c r="AC19" s="335"/>
      <c r="AD19" s="335"/>
      <c r="AE19" s="335"/>
      <c r="AF19" s="335"/>
      <c r="AG19" s="335"/>
      <c r="AH19" s="335"/>
      <c r="AI19" s="335"/>
      <c r="AJ19" s="336"/>
      <c r="AK19" s="334"/>
      <c r="AL19" s="335"/>
      <c r="AM19" s="335"/>
      <c r="AN19" s="335"/>
      <c r="AO19" s="335"/>
      <c r="AP19" s="335"/>
      <c r="AQ19" s="335"/>
      <c r="AR19" s="335"/>
      <c r="AS19" s="335"/>
      <c r="AT19" s="335"/>
      <c r="AU19" s="335"/>
      <c r="AV19" s="335"/>
      <c r="AW19" s="335"/>
      <c r="AX19" s="335"/>
      <c r="AY19" s="336"/>
      <c r="AZ19" s="199"/>
      <c r="BA19" s="335" t="s">
        <v>467</v>
      </c>
      <c r="BB19" s="199"/>
      <c r="BC19" s="199"/>
    </row>
    <row r="20" spans="1:55" ht="16.5" thickBot="1" x14ac:dyDescent="0.3">
      <c r="A20" s="1430"/>
      <c r="B20" s="337" t="s">
        <v>332</v>
      </c>
      <c r="C20" s="338"/>
      <c r="D20" s="339">
        <v>30</v>
      </c>
      <c r="E20" s="340"/>
      <c r="F20" s="340"/>
      <c r="G20" s="340">
        <v>5</v>
      </c>
      <c r="H20" s="340">
        <f>IF(total_ma&gt;30, 10, 0)</f>
        <v>0</v>
      </c>
      <c r="I20" s="340">
        <f>IF(COUNTIF(skill_select, "*Sing*")&gt;1, 10, 0)+IF(COUNTIF(skill_select, "*Seduction*")&gt;0, 5, 0)</f>
        <v>0</v>
      </c>
      <c r="J20" s="340"/>
      <c r="K20" s="341"/>
      <c r="L20" s="342"/>
      <c r="M20" s="343"/>
      <c r="N20" s="343"/>
      <c r="O20" s="343"/>
      <c r="P20" s="343"/>
      <c r="Q20" s="343"/>
      <c r="R20" s="343"/>
      <c r="S20" s="343"/>
      <c r="T20" s="343"/>
      <c r="U20" s="344"/>
      <c r="V20" s="342"/>
      <c r="W20" s="343"/>
      <c r="X20" s="343"/>
      <c r="Y20" s="343"/>
      <c r="Z20" s="343"/>
      <c r="AA20" s="343"/>
      <c r="AB20" s="343"/>
      <c r="AC20" s="343"/>
      <c r="AD20" s="343"/>
      <c r="AE20" s="343"/>
      <c r="AF20" s="343"/>
      <c r="AG20" s="343"/>
      <c r="AH20" s="343"/>
      <c r="AI20" s="343"/>
      <c r="AJ20" s="344"/>
      <c r="AK20" s="342"/>
      <c r="AL20" s="343"/>
      <c r="AM20" s="343"/>
      <c r="AN20" s="343"/>
      <c r="AO20" s="343"/>
      <c r="AP20" s="343"/>
      <c r="AQ20" s="343"/>
      <c r="AR20" s="343"/>
      <c r="AS20" s="343"/>
      <c r="AT20" s="343"/>
      <c r="AU20" s="343"/>
      <c r="AV20" s="343"/>
      <c r="AW20" s="343"/>
      <c r="AX20" s="343"/>
      <c r="AY20" s="344"/>
      <c r="AZ20" s="199"/>
      <c r="BA20" s="335" t="s">
        <v>675</v>
      </c>
      <c r="BB20" s="199"/>
      <c r="BC20" s="199"/>
    </row>
    <row r="21" spans="1:55" ht="15.75" x14ac:dyDescent="0.25">
      <c r="A21" s="1412" t="s">
        <v>339</v>
      </c>
      <c r="B21" s="319" t="s">
        <v>338</v>
      </c>
      <c r="C21" s="320"/>
      <c r="D21" s="321">
        <v>30</v>
      </c>
      <c r="E21" s="322"/>
      <c r="F21" s="322"/>
      <c r="G21" s="322">
        <v>5</v>
      </c>
      <c r="H21" s="322"/>
      <c r="I21" s="322">
        <f>IF(COUNTIF(skill_select, "*Surveillance*")&gt;0, 5, 0)</f>
        <v>0</v>
      </c>
      <c r="J21" s="322"/>
      <c r="K21" s="323"/>
      <c r="L21" s="324"/>
      <c r="M21" s="325"/>
      <c r="N21" s="325"/>
      <c r="O21" s="325"/>
      <c r="P21" s="325"/>
      <c r="Q21" s="325"/>
      <c r="R21" s="325"/>
      <c r="S21" s="325"/>
      <c r="T21" s="325"/>
      <c r="U21" s="326"/>
      <c r="V21" s="324"/>
      <c r="W21" s="325"/>
      <c r="X21" s="325"/>
      <c r="Y21" s="325"/>
      <c r="Z21" s="325"/>
      <c r="AA21" s="325"/>
      <c r="AB21" s="325"/>
      <c r="AC21" s="325"/>
      <c r="AD21" s="325"/>
      <c r="AE21" s="325"/>
      <c r="AF21" s="325"/>
      <c r="AG21" s="325"/>
      <c r="AH21" s="325"/>
      <c r="AI21" s="325"/>
      <c r="AJ21" s="326"/>
      <c r="AK21" s="324"/>
      <c r="AL21" s="325"/>
      <c r="AM21" s="325"/>
      <c r="AN21" s="325"/>
      <c r="AO21" s="325"/>
      <c r="AP21" s="325"/>
      <c r="AQ21" s="325"/>
      <c r="AR21" s="325"/>
      <c r="AS21" s="325"/>
      <c r="AT21" s="325"/>
      <c r="AU21" s="325"/>
      <c r="AV21" s="325"/>
      <c r="AW21" s="325"/>
      <c r="AX21" s="325"/>
      <c r="AY21" s="326"/>
      <c r="AZ21" s="199"/>
      <c r="BA21" s="199"/>
      <c r="BB21" s="199"/>
      <c r="BC21" s="199"/>
    </row>
    <row r="22" spans="1:55" ht="15.75" x14ac:dyDescent="0.25">
      <c r="A22" s="1401"/>
      <c r="B22" s="329" t="s">
        <v>340</v>
      </c>
      <c r="C22" s="330"/>
      <c r="D22" s="331">
        <v>25</v>
      </c>
      <c r="E22" s="332"/>
      <c r="F22" s="332"/>
      <c r="G22" s="332">
        <v>5</v>
      </c>
      <c r="H22" s="332"/>
      <c r="I22" s="332"/>
      <c r="J22" s="332"/>
      <c r="K22" s="333"/>
      <c r="L22" s="334"/>
      <c r="M22" s="335"/>
      <c r="N22" s="335"/>
      <c r="O22" s="335"/>
      <c r="P22" s="335"/>
      <c r="Q22" s="335"/>
      <c r="R22" s="335"/>
      <c r="S22" s="335"/>
      <c r="T22" s="335"/>
      <c r="U22" s="336"/>
      <c r="V22" s="334"/>
      <c r="W22" s="335"/>
      <c r="X22" s="335"/>
      <c r="Y22" s="335"/>
      <c r="Z22" s="335"/>
      <c r="AA22" s="335"/>
      <c r="AB22" s="335"/>
      <c r="AC22" s="335"/>
      <c r="AD22" s="335"/>
      <c r="AE22" s="335"/>
      <c r="AF22" s="335"/>
      <c r="AG22" s="335"/>
      <c r="AH22" s="335"/>
      <c r="AI22" s="335"/>
      <c r="AJ22" s="336"/>
      <c r="AK22" s="334"/>
      <c r="AL22" s="335"/>
      <c r="AM22" s="335"/>
      <c r="AN22" s="335"/>
      <c r="AO22" s="335"/>
      <c r="AP22" s="335"/>
      <c r="AQ22" s="335"/>
      <c r="AR22" s="335"/>
      <c r="AS22" s="335"/>
      <c r="AT22" s="335"/>
      <c r="AU22" s="335"/>
      <c r="AV22" s="335"/>
      <c r="AW22" s="335"/>
      <c r="AX22" s="335"/>
      <c r="AY22" s="336"/>
      <c r="AZ22" s="199"/>
      <c r="BA22" s="199"/>
      <c r="BB22" s="199"/>
      <c r="BC22" s="199"/>
    </row>
    <row r="23" spans="1:55" ht="15.75" x14ac:dyDescent="0.25">
      <c r="A23" s="1401"/>
      <c r="B23" s="329" t="s">
        <v>341</v>
      </c>
      <c r="C23" s="330"/>
      <c r="D23" s="331">
        <v>25</v>
      </c>
      <c r="E23" s="332"/>
      <c r="F23" s="332"/>
      <c r="G23" s="332">
        <v>5</v>
      </c>
      <c r="H23" s="332"/>
      <c r="I23" s="332">
        <f>IF(COUNTIF(skill_select, "*Surveillance*")&gt;0, 5, 0)</f>
        <v>0</v>
      </c>
      <c r="J23" s="332"/>
      <c r="K23" s="333"/>
      <c r="L23" s="334"/>
      <c r="M23" s="335"/>
      <c r="N23" s="335"/>
      <c r="O23" s="335"/>
      <c r="P23" s="335"/>
      <c r="Q23" s="335"/>
      <c r="R23" s="335"/>
      <c r="S23" s="335"/>
      <c r="T23" s="335"/>
      <c r="U23" s="336"/>
      <c r="V23" s="334"/>
      <c r="W23" s="335"/>
      <c r="X23" s="335"/>
      <c r="Y23" s="335"/>
      <c r="Z23" s="335"/>
      <c r="AA23" s="335"/>
      <c r="AB23" s="335"/>
      <c r="AC23" s="335"/>
      <c r="AD23" s="335"/>
      <c r="AE23" s="335"/>
      <c r="AF23" s="335"/>
      <c r="AG23" s="335"/>
      <c r="AH23" s="335"/>
      <c r="AI23" s="335"/>
      <c r="AJ23" s="336"/>
      <c r="AK23" s="334"/>
      <c r="AL23" s="335"/>
      <c r="AM23" s="335"/>
      <c r="AN23" s="335"/>
      <c r="AO23" s="335"/>
      <c r="AP23" s="335"/>
      <c r="AQ23" s="335"/>
      <c r="AR23" s="335"/>
      <c r="AS23" s="335"/>
      <c r="AT23" s="335"/>
      <c r="AU23" s="335"/>
      <c r="AV23" s="335"/>
      <c r="AW23" s="335"/>
      <c r="AX23" s="335"/>
      <c r="AY23" s="336"/>
      <c r="AZ23" s="199"/>
      <c r="BA23" s="199"/>
      <c r="BB23" s="199"/>
      <c r="BC23" s="199"/>
    </row>
    <row r="24" spans="1:55" ht="15.75" x14ac:dyDescent="0.25">
      <c r="A24" s="1401"/>
      <c r="B24" s="329" t="s">
        <v>342</v>
      </c>
      <c r="C24" s="330"/>
      <c r="D24" s="331">
        <v>25</v>
      </c>
      <c r="E24" s="332"/>
      <c r="F24" s="332"/>
      <c r="G24" s="332">
        <v>5</v>
      </c>
      <c r="H24" s="332"/>
      <c r="I24" s="332"/>
      <c r="J24" s="332"/>
      <c r="K24" s="333"/>
      <c r="L24" s="334"/>
      <c r="M24" s="335"/>
      <c r="N24" s="335"/>
      <c r="O24" s="335"/>
      <c r="P24" s="335"/>
      <c r="Q24" s="335"/>
      <c r="R24" s="335"/>
      <c r="S24" s="335"/>
      <c r="T24" s="335"/>
      <c r="U24" s="336"/>
      <c r="V24" s="334"/>
      <c r="W24" s="335"/>
      <c r="X24" s="335"/>
      <c r="Y24" s="335"/>
      <c r="Z24" s="335"/>
      <c r="AA24" s="335"/>
      <c r="AB24" s="335"/>
      <c r="AC24" s="335"/>
      <c r="AD24" s="335"/>
      <c r="AE24" s="335"/>
      <c r="AF24" s="335"/>
      <c r="AG24" s="335"/>
      <c r="AH24" s="335"/>
      <c r="AI24" s="335"/>
      <c r="AJ24" s="336"/>
      <c r="AK24" s="334"/>
      <c r="AL24" s="335"/>
      <c r="AM24" s="335"/>
      <c r="AN24" s="335"/>
      <c r="AO24" s="335"/>
      <c r="AP24" s="335"/>
      <c r="AQ24" s="335"/>
      <c r="AR24" s="335"/>
      <c r="AS24" s="335"/>
      <c r="AT24" s="335"/>
      <c r="AU24" s="335"/>
      <c r="AV24" s="335"/>
      <c r="AW24" s="335"/>
      <c r="AX24" s="335"/>
      <c r="AY24" s="336"/>
      <c r="AZ24" s="199"/>
      <c r="BA24" s="199"/>
      <c r="BB24" s="199"/>
      <c r="BC24" s="199"/>
    </row>
    <row r="25" spans="1:55" ht="15.75" x14ac:dyDescent="0.25">
      <c r="A25" s="1401"/>
      <c r="B25" s="329" t="s">
        <v>343</v>
      </c>
      <c r="C25" s="330"/>
      <c r="D25" s="331">
        <v>20</v>
      </c>
      <c r="E25" s="332"/>
      <c r="F25" s="332"/>
      <c r="G25" s="332">
        <v>5</v>
      </c>
      <c r="H25" s="332"/>
      <c r="I25" s="332">
        <f>IF(COUNTIF(skill_select, "*Heraldry*")&gt;0, 2, 0)+IF(COUNTIF(skill_select, "*Art*")&gt;0, 3, 0)</f>
        <v>0</v>
      </c>
      <c r="J25" s="332"/>
      <c r="K25" s="333"/>
      <c r="L25" s="334"/>
      <c r="M25" s="335"/>
      <c r="N25" s="335"/>
      <c r="O25" s="335"/>
      <c r="P25" s="335"/>
      <c r="Q25" s="335"/>
      <c r="R25" s="335"/>
      <c r="S25" s="335"/>
      <c r="T25" s="335"/>
      <c r="U25" s="336"/>
      <c r="V25" s="334"/>
      <c r="W25" s="335"/>
      <c r="X25" s="335"/>
      <c r="Y25" s="335"/>
      <c r="Z25" s="335"/>
      <c r="AA25" s="335"/>
      <c r="AB25" s="335"/>
      <c r="AC25" s="335"/>
      <c r="AD25" s="335"/>
      <c r="AE25" s="335"/>
      <c r="AF25" s="335"/>
      <c r="AG25" s="335"/>
      <c r="AH25" s="335"/>
      <c r="AI25" s="335"/>
      <c r="AJ25" s="336"/>
      <c r="AK25" s="334"/>
      <c r="AL25" s="335"/>
      <c r="AM25" s="335"/>
      <c r="AN25" s="335"/>
      <c r="AO25" s="335"/>
      <c r="AP25" s="335"/>
      <c r="AQ25" s="335"/>
      <c r="AR25" s="335"/>
      <c r="AS25" s="335"/>
      <c r="AT25" s="335"/>
      <c r="AU25" s="335"/>
      <c r="AV25" s="335"/>
      <c r="AW25" s="335"/>
      <c r="AX25" s="335"/>
      <c r="AY25" s="336"/>
      <c r="AZ25" s="199"/>
      <c r="BA25" s="199"/>
      <c r="BB25" s="199"/>
      <c r="BC25" s="199"/>
    </row>
    <row r="26" spans="1:55" ht="15.75" x14ac:dyDescent="0.25">
      <c r="A26" s="1401"/>
      <c r="B26" s="329" t="s">
        <v>344</v>
      </c>
      <c r="C26" s="330"/>
      <c r="D26" s="331">
        <v>36</v>
      </c>
      <c r="E26" s="332">
        <v>16</v>
      </c>
      <c r="F26" s="332"/>
      <c r="G26" s="332">
        <v>4</v>
      </c>
      <c r="H26" s="332"/>
      <c r="I26" s="332">
        <f>IF(COUNTIF(skill_select, "*Surveillance*")&gt;0, 5, 0)+IF(COUNTIF(skill_select, "*Research*")&gt;0, 5, 0)</f>
        <v>0</v>
      </c>
      <c r="J26" s="332"/>
      <c r="K26" s="333"/>
      <c r="L26" s="334"/>
      <c r="M26" s="335"/>
      <c r="N26" s="335"/>
      <c r="O26" s="335"/>
      <c r="P26" s="335"/>
      <c r="Q26" s="335"/>
      <c r="R26" s="335"/>
      <c r="S26" s="335"/>
      <c r="T26" s="335"/>
      <c r="U26" s="336"/>
      <c r="V26" s="334"/>
      <c r="W26" s="335"/>
      <c r="X26" s="335"/>
      <c r="Y26" s="335"/>
      <c r="Z26" s="335"/>
      <c r="AA26" s="335"/>
      <c r="AB26" s="335"/>
      <c r="AC26" s="335"/>
      <c r="AD26" s="335"/>
      <c r="AE26" s="335"/>
      <c r="AF26" s="335"/>
      <c r="AG26" s="335"/>
      <c r="AH26" s="335"/>
      <c r="AI26" s="335"/>
      <c r="AJ26" s="336"/>
      <c r="AK26" s="334"/>
      <c r="AL26" s="335"/>
      <c r="AM26" s="335"/>
      <c r="AN26" s="335"/>
      <c r="AO26" s="335"/>
      <c r="AP26" s="335"/>
      <c r="AQ26" s="335"/>
      <c r="AR26" s="335"/>
      <c r="AS26" s="335"/>
      <c r="AT26" s="335"/>
      <c r="AU26" s="335"/>
      <c r="AV26" s="335"/>
      <c r="AW26" s="335"/>
      <c r="AX26" s="335"/>
      <c r="AY26" s="336"/>
      <c r="AZ26" s="199"/>
      <c r="BA26" s="199"/>
      <c r="BB26" s="199"/>
      <c r="BC26" s="199"/>
    </row>
    <row r="27" spans="1:55" ht="15.75" x14ac:dyDescent="0.25">
      <c r="A27" s="1401"/>
      <c r="B27" s="329" t="s">
        <v>345</v>
      </c>
      <c r="C27" s="330"/>
      <c r="D27" s="331">
        <v>30</v>
      </c>
      <c r="E27" s="332"/>
      <c r="F27" s="332"/>
      <c r="G27" s="332">
        <v>4</v>
      </c>
      <c r="H27" s="332">
        <f>IF(total_ma&gt;30, 5, 0)</f>
        <v>0</v>
      </c>
      <c r="I27" s="332">
        <f>IF(COUNTIF(skill_select, "*Heraldry*")&gt;0, 2, 0)</f>
        <v>0</v>
      </c>
      <c r="J27" s="332"/>
      <c r="K27" s="333"/>
      <c r="L27" s="334"/>
      <c r="M27" s="335"/>
      <c r="N27" s="335"/>
      <c r="O27" s="335"/>
      <c r="P27" s="335"/>
      <c r="Q27" s="335"/>
      <c r="R27" s="335"/>
      <c r="S27" s="335"/>
      <c r="T27" s="335"/>
      <c r="U27" s="336"/>
      <c r="V27" s="334"/>
      <c r="W27" s="335"/>
      <c r="X27" s="335"/>
      <c r="Y27" s="335"/>
      <c r="Z27" s="335"/>
      <c r="AA27" s="335"/>
      <c r="AB27" s="335"/>
      <c r="AC27" s="335"/>
      <c r="AD27" s="335"/>
      <c r="AE27" s="335"/>
      <c r="AF27" s="335"/>
      <c r="AG27" s="335"/>
      <c r="AH27" s="335"/>
      <c r="AI27" s="335"/>
      <c r="AJ27" s="336"/>
      <c r="AK27" s="334"/>
      <c r="AL27" s="335"/>
      <c r="AM27" s="335"/>
      <c r="AN27" s="335"/>
      <c r="AO27" s="335"/>
      <c r="AP27" s="335"/>
      <c r="AQ27" s="335"/>
      <c r="AR27" s="335"/>
      <c r="AS27" s="335"/>
      <c r="AT27" s="335"/>
      <c r="AU27" s="335"/>
      <c r="AV27" s="335"/>
      <c r="AW27" s="335"/>
      <c r="AX27" s="335"/>
      <c r="AY27" s="336"/>
      <c r="AZ27" s="199"/>
      <c r="BA27" s="199"/>
      <c r="BB27" s="199"/>
      <c r="BC27" s="199"/>
    </row>
    <row r="28" spans="1:55" ht="15.75" x14ac:dyDescent="0.25">
      <c r="A28" s="1401"/>
      <c r="B28" s="329" t="s">
        <v>346</v>
      </c>
      <c r="C28" s="330"/>
      <c r="D28" s="331">
        <v>30</v>
      </c>
      <c r="E28" s="332"/>
      <c r="F28" s="332"/>
      <c r="G28" s="332">
        <v>5</v>
      </c>
      <c r="H28" s="332"/>
      <c r="I28" s="332"/>
      <c r="J28" s="332"/>
      <c r="K28" s="333"/>
      <c r="L28" s="334"/>
      <c r="M28" s="335"/>
      <c r="N28" s="335"/>
      <c r="O28" s="335"/>
      <c r="P28" s="335"/>
      <c r="Q28" s="335"/>
      <c r="R28" s="335"/>
      <c r="S28" s="335"/>
      <c r="T28" s="335"/>
      <c r="U28" s="336"/>
      <c r="V28" s="334"/>
      <c r="W28" s="335"/>
      <c r="X28" s="335"/>
      <c r="Y28" s="335"/>
      <c r="Z28" s="335"/>
      <c r="AA28" s="335"/>
      <c r="AB28" s="335"/>
      <c r="AC28" s="335"/>
      <c r="AD28" s="335"/>
      <c r="AE28" s="335"/>
      <c r="AF28" s="335"/>
      <c r="AG28" s="335"/>
      <c r="AH28" s="335"/>
      <c r="AI28" s="335"/>
      <c r="AJ28" s="336"/>
      <c r="AK28" s="334"/>
      <c r="AL28" s="335"/>
      <c r="AM28" s="335"/>
      <c r="AN28" s="335"/>
      <c r="AO28" s="335"/>
      <c r="AP28" s="335"/>
      <c r="AQ28" s="335"/>
      <c r="AR28" s="335"/>
      <c r="AS28" s="335"/>
      <c r="AT28" s="335"/>
      <c r="AU28" s="335"/>
      <c r="AV28" s="335"/>
      <c r="AW28" s="335"/>
      <c r="AX28" s="335"/>
      <c r="AY28" s="336"/>
      <c r="AZ28" s="199"/>
      <c r="BA28" s="199"/>
      <c r="BB28" s="199"/>
      <c r="BC28" s="199"/>
    </row>
    <row r="29" spans="1:55" ht="15.75" x14ac:dyDescent="0.25">
      <c r="A29" s="1401"/>
      <c r="B29" s="329" t="s">
        <v>347</v>
      </c>
      <c r="C29" s="330"/>
      <c r="D29" s="331">
        <v>25</v>
      </c>
      <c r="E29" s="332"/>
      <c r="F29" s="332"/>
      <c r="G29" s="332">
        <v>5</v>
      </c>
      <c r="H29" s="332">
        <f>IF(total_pb&gt;30, 5, 0)</f>
        <v>0</v>
      </c>
      <c r="I29" s="332">
        <f>IF(COUNTIF(skill_select, "*Palming*")&gt;0, 5, 0)</f>
        <v>0</v>
      </c>
      <c r="J29" s="332"/>
      <c r="K29" s="333"/>
      <c r="L29" s="334"/>
      <c r="M29" s="335"/>
      <c r="N29" s="335"/>
      <c r="O29" s="335"/>
      <c r="P29" s="335"/>
      <c r="Q29" s="335"/>
      <c r="R29" s="335"/>
      <c r="S29" s="335"/>
      <c r="T29" s="335"/>
      <c r="U29" s="336"/>
      <c r="V29" s="334"/>
      <c r="W29" s="335"/>
      <c r="X29" s="335"/>
      <c r="Y29" s="335"/>
      <c r="Z29" s="335"/>
      <c r="AA29" s="335"/>
      <c r="AB29" s="335"/>
      <c r="AC29" s="335"/>
      <c r="AD29" s="335"/>
      <c r="AE29" s="335"/>
      <c r="AF29" s="335"/>
      <c r="AG29" s="335"/>
      <c r="AH29" s="335"/>
      <c r="AI29" s="335"/>
      <c r="AJ29" s="336"/>
      <c r="AK29" s="334"/>
      <c r="AL29" s="335"/>
      <c r="AM29" s="335"/>
      <c r="AN29" s="335"/>
      <c r="AO29" s="335"/>
      <c r="AP29" s="335"/>
      <c r="AQ29" s="335"/>
      <c r="AR29" s="335"/>
      <c r="AS29" s="335"/>
      <c r="AT29" s="335"/>
      <c r="AU29" s="335"/>
      <c r="AV29" s="335"/>
      <c r="AW29" s="335"/>
      <c r="AX29" s="335"/>
      <c r="AY29" s="336"/>
      <c r="AZ29" s="199"/>
      <c r="BA29" s="199"/>
      <c r="BB29" s="199"/>
      <c r="BC29" s="199"/>
    </row>
    <row r="30" spans="1:55" ht="15.75" x14ac:dyDescent="0.25">
      <c r="A30" s="1401"/>
      <c r="B30" s="329" t="s">
        <v>348</v>
      </c>
      <c r="C30" s="330"/>
      <c r="D30" s="331"/>
      <c r="E30" s="332"/>
      <c r="F30" s="332"/>
      <c r="G30" s="332"/>
      <c r="H30" s="332"/>
      <c r="I30" s="332"/>
      <c r="J30" s="332"/>
      <c r="K30" s="333"/>
      <c r="L30" s="334"/>
      <c r="M30" s="335"/>
      <c r="N30" s="335"/>
      <c r="O30" s="335"/>
      <c r="P30" s="335"/>
      <c r="Q30" s="335"/>
      <c r="R30" s="335"/>
      <c r="S30" s="335"/>
      <c r="T30" s="335"/>
      <c r="U30" s="336"/>
      <c r="V30" s="334"/>
      <c r="W30" s="335"/>
      <c r="X30" s="335"/>
      <c r="Y30" s="335"/>
      <c r="Z30" s="335"/>
      <c r="AA30" s="335"/>
      <c r="AB30" s="335"/>
      <c r="AC30" s="335"/>
      <c r="AD30" s="335"/>
      <c r="AE30" s="335"/>
      <c r="AF30" s="335"/>
      <c r="AG30" s="335"/>
      <c r="AH30" s="335"/>
      <c r="AI30" s="335"/>
      <c r="AJ30" s="336"/>
      <c r="AK30" s="334"/>
      <c r="AL30" s="335"/>
      <c r="AM30" s="335"/>
      <c r="AN30" s="335"/>
      <c r="AO30" s="335"/>
      <c r="AP30" s="335"/>
      <c r="AQ30" s="335"/>
      <c r="AR30" s="335"/>
      <c r="AS30" s="335"/>
      <c r="AT30" s="335"/>
      <c r="AU30" s="335"/>
      <c r="AV30" s="335"/>
      <c r="AW30" s="335"/>
      <c r="AX30" s="335"/>
      <c r="AY30" s="336"/>
      <c r="AZ30" s="199"/>
      <c r="BA30" s="199"/>
      <c r="BB30" s="199"/>
      <c r="BC30" s="199"/>
    </row>
    <row r="31" spans="1:55" ht="16.5" thickBot="1" x14ac:dyDescent="0.3">
      <c r="A31" s="1402"/>
      <c r="B31" s="337" t="s">
        <v>349</v>
      </c>
      <c r="C31" s="338"/>
      <c r="D31" s="339">
        <v>25</v>
      </c>
      <c r="E31" s="340"/>
      <c r="F31" s="340"/>
      <c r="G31" s="340">
        <v>5</v>
      </c>
      <c r="H31" s="340"/>
      <c r="I31" s="340"/>
      <c r="J31" s="340"/>
      <c r="K31" s="341"/>
      <c r="L31" s="342"/>
      <c r="M31" s="343"/>
      <c r="N31" s="343"/>
      <c r="O31" s="343"/>
      <c r="P31" s="343"/>
      <c r="Q31" s="343"/>
      <c r="R31" s="343"/>
      <c r="S31" s="343"/>
      <c r="T31" s="343"/>
      <c r="U31" s="344"/>
      <c r="V31" s="342"/>
      <c r="W31" s="343"/>
      <c r="X31" s="343"/>
      <c r="Y31" s="343"/>
      <c r="Z31" s="343"/>
      <c r="AA31" s="343"/>
      <c r="AB31" s="343"/>
      <c r="AC31" s="343"/>
      <c r="AD31" s="343"/>
      <c r="AE31" s="343"/>
      <c r="AF31" s="343"/>
      <c r="AG31" s="343"/>
      <c r="AH31" s="343"/>
      <c r="AI31" s="343"/>
      <c r="AJ31" s="344"/>
      <c r="AK31" s="342"/>
      <c r="AL31" s="343"/>
      <c r="AM31" s="343"/>
      <c r="AN31" s="343"/>
      <c r="AO31" s="343"/>
      <c r="AP31" s="343"/>
      <c r="AQ31" s="343"/>
      <c r="AR31" s="343"/>
      <c r="AS31" s="343"/>
      <c r="AT31" s="343"/>
      <c r="AU31" s="343"/>
      <c r="AV31" s="343"/>
      <c r="AW31" s="343"/>
      <c r="AX31" s="343"/>
      <c r="AY31" s="344"/>
      <c r="AZ31" s="199"/>
      <c r="BA31" s="199"/>
      <c r="BB31" s="199"/>
      <c r="BC31" s="199"/>
    </row>
    <row r="32" spans="1:55" ht="15.75" x14ac:dyDescent="0.25">
      <c r="A32" s="1406" t="s">
        <v>351</v>
      </c>
      <c r="B32" s="319" t="s">
        <v>350</v>
      </c>
      <c r="C32" s="320"/>
      <c r="D32" s="321">
        <v>35</v>
      </c>
      <c r="E32" s="322">
        <v>20</v>
      </c>
      <c r="F32" s="322"/>
      <c r="G32" s="322">
        <v>5</v>
      </c>
      <c r="H32" s="322"/>
      <c r="I32" s="322"/>
      <c r="J32" s="322"/>
      <c r="K32" s="323"/>
      <c r="L32" s="324"/>
      <c r="M32" s="325"/>
      <c r="N32" s="325"/>
      <c r="O32" s="325"/>
      <c r="P32" s="325"/>
      <c r="Q32" s="325"/>
      <c r="R32" s="325"/>
      <c r="S32" s="325"/>
      <c r="T32" s="325"/>
      <c r="U32" s="326"/>
      <c r="V32" s="324"/>
      <c r="W32" s="325"/>
      <c r="X32" s="325"/>
      <c r="Y32" s="325"/>
      <c r="Z32" s="325"/>
      <c r="AA32" s="325"/>
      <c r="AB32" s="325"/>
      <c r="AC32" s="325"/>
      <c r="AD32" s="325"/>
      <c r="AE32" s="325"/>
      <c r="AF32" s="325"/>
      <c r="AG32" s="325"/>
      <c r="AH32" s="325"/>
      <c r="AI32" s="325"/>
      <c r="AJ32" s="326"/>
      <c r="AK32" s="324"/>
      <c r="AL32" s="325"/>
      <c r="AM32" s="325"/>
      <c r="AN32" s="325"/>
      <c r="AO32" s="325"/>
      <c r="AP32" s="325"/>
      <c r="AQ32" s="325"/>
      <c r="AR32" s="325"/>
      <c r="AS32" s="325"/>
      <c r="AT32" s="325"/>
      <c r="AU32" s="325"/>
      <c r="AV32" s="325"/>
      <c r="AW32" s="325"/>
      <c r="AX32" s="325"/>
      <c r="AY32" s="326"/>
      <c r="AZ32" s="199"/>
      <c r="BA32" s="199"/>
      <c r="BB32" s="199"/>
      <c r="BC32" s="199"/>
    </row>
    <row r="33" spans="1:55" ht="15.75" x14ac:dyDescent="0.25">
      <c r="A33" s="1407"/>
      <c r="B33" s="329" t="s">
        <v>352</v>
      </c>
      <c r="C33" s="330"/>
      <c r="D33" s="331">
        <v>40</v>
      </c>
      <c r="E33" s="332">
        <v>30</v>
      </c>
      <c r="F33" s="332"/>
      <c r="G33" s="332">
        <v>5</v>
      </c>
      <c r="H33" s="332"/>
      <c r="I33" s="332"/>
      <c r="J33" s="332"/>
      <c r="K33" s="333"/>
      <c r="L33" s="334"/>
      <c r="M33" s="335"/>
      <c r="N33" s="335"/>
      <c r="O33" s="335"/>
      <c r="P33" s="335"/>
      <c r="Q33" s="335"/>
      <c r="R33" s="335"/>
      <c r="S33" s="335"/>
      <c r="T33" s="335"/>
      <c r="U33" s="336"/>
      <c r="V33" s="334"/>
      <c r="W33" s="335"/>
      <c r="X33" s="335"/>
      <c r="Y33" s="335"/>
      <c r="Z33" s="335"/>
      <c r="AA33" s="335"/>
      <c r="AB33" s="335"/>
      <c r="AC33" s="335"/>
      <c r="AD33" s="335"/>
      <c r="AE33" s="335"/>
      <c r="AF33" s="335"/>
      <c r="AG33" s="335"/>
      <c r="AH33" s="335"/>
      <c r="AI33" s="335"/>
      <c r="AJ33" s="336"/>
      <c r="AK33" s="334"/>
      <c r="AL33" s="335"/>
      <c r="AM33" s="335"/>
      <c r="AN33" s="335"/>
      <c r="AO33" s="335"/>
      <c r="AP33" s="335"/>
      <c r="AQ33" s="335"/>
      <c r="AR33" s="335"/>
      <c r="AS33" s="335"/>
      <c r="AT33" s="335"/>
      <c r="AU33" s="335"/>
      <c r="AV33" s="335"/>
      <c r="AW33" s="335"/>
      <c r="AX33" s="335"/>
      <c r="AY33" s="336"/>
      <c r="AZ33" s="199"/>
      <c r="BA33" s="199"/>
      <c r="BB33" s="199"/>
      <c r="BC33" s="199"/>
    </row>
    <row r="34" spans="1:55" ht="15.75" x14ac:dyDescent="0.25">
      <c r="A34" s="1407"/>
      <c r="B34" s="329" t="s">
        <v>353</v>
      </c>
      <c r="C34" s="330"/>
      <c r="D34" s="331">
        <v>45</v>
      </c>
      <c r="E34" s="332">
        <v>40</v>
      </c>
      <c r="F34" s="332"/>
      <c r="G34" s="332">
        <v>5</v>
      </c>
      <c r="H34" s="332"/>
      <c r="I34" s="332"/>
      <c r="J34" s="332"/>
      <c r="K34" s="333"/>
      <c r="L34" s="334"/>
      <c r="M34" s="335"/>
      <c r="N34" s="335"/>
      <c r="O34" s="335"/>
      <c r="P34" s="335"/>
      <c r="Q34" s="335"/>
      <c r="R34" s="335"/>
      <c r="S34" s="335"/>
      <c r="T34" s="335"/>
      <c r="U34" s="336"/>
      <c r="V34" s="334"/>
      <c r="W34" s="335"/>
      <c r="X34" s="335"/>
      <c r="Y34" s="335"/>
      <c r="Z34" s="335"/>
      <c r="AA34" s="335"/>
      <c r="AB34" s="335"/>
      <c r="AC34" s="335"/>
      <c r="AD34" s="335"/>
      <c r="AE34" s="335"/>
      <c r="AF34" s="335"/>
      <c r="AG34" s="335"/>
      <c r="AH34" s="335"/>
      <c r="AI34" s="335"/>
      <c r="AJ34" s="336"/>
      <c r="AK34" s="334"/>
      <c r="AL34" s="335"/>
      <c r="AM34" s="335"/>
      <c r="AN34" s="335"/>
      <c r="AO34" s="335"/>
      <c r="AP34" s="335"/>
      <c r="AQ34" s="335"/>
      <c r="AR34" s="335"/>
      <c r="AS34" s="335"/>
      <c r="AT34" s="335"/>
      <c r="AU34" s="335"/>
      <c r="AV34" s="335"/>
      <c r="AW34" s="335"/>
      <c r="AX34" s="335"/>
      <c r="AY34" s="336"/>
      <c r="AZ34" s="199"/>
      <c r="BA34" s="199"/>
      <c r="BB34" s="199"/>
      <c r="BC34" s="199"/>
    </row>
    <row r="35" spans="1:55" ht="16.5" thickBot="1" x14ac:dyDescent="0.3">
      <c r="A35" s="1413"/>
      <c r="B35" s="337" t="s">
        <v>354</v>
      </c>
      <c r="C35" s="338"/>
      <c r="D35" s="339">
        <v>30</v>
      </c>
      <c r="E35" s="340">
        <v>20</v>
      </c>
      <c r="F35" s="340"/>
      <c r="G35" s="340">
        <v>5</v>
      </c>
      <c r="H35" s="340"/>
      <c r="I35" s="340"/>
      <c r="J35" s="340"/>
      <c r="K35" s="341"/>
      <c r="L35" s="345"/>
      <c r="M35" s="346"/>
      <c r="N35" s="346"/>
      <c r="O35" s="346"/>
      <c r="P35" s="346"/>
      <c r="Q35" s="346"/>
      <c r="R35" s="346"/>
      <c r="S35" s="346"/>
      <c r="T35" s="346"/>
      <c r="U35" s="347"/>
      <c r="V35" s="345"/>
      <c r="W35" s="346"/>
      <c r="X35" s="346"/>
      <c r="Y35" s="346"/>
      <c r="Z35" s="346"/>
      <c r="AA35" s="346"/>
      <c r="AB35" s="346"/>
      <c r="AC35" s="346"/>
      <c r="AD35" s="346"/>
      <c r="AE35" s="346"/>
      <c r="AF35" s="346"/>
      <c r="AG35" s="346"/>
      <c r="AH35" s="346"/>
      <c r="AI35" s="346"/>
      <c r="AJ35" s="347"/>
      <c r="AK35" s="345"/>
      <c r="AL35" s="346"/>
      <c r="AM35" s="346"/>
      <c r="AN35" s="346"/>
      <c r="AO35" s="346"/>
      <c r="AP35" s="346"/>
      <c r="AQ35" s="346"/>
      <c r="AR35" s="346"/>
      <c r="AS35" s="346"/>
      <c r="AT35" s="346"/>
      <c r="AU35" s="346"/>
      <c r="AV35" s="346"/>
      <c r="AW35" s="346"/>
      <c r="AX35" s="346"/>
      <c r="AY35" s="347"/>
      <c r="AZ35" s="199"/>
      <c r="BA35" s="199"/>
      <c r="BB35" s="199"/>
      <c r="BC35" s="199"/>
    </row>
    <row r="36" spans="1:55" ht="15.75" x14ac:dyDescent="0.25">
      <c r="A36" s="1423" t="s">
        <v>327</v>
      </c>
      <c r="B36" s="348" t="s">
        <v>521</v>
      </c>
      <c r="C36" s="320"/>
      <c r="D36" s="321">
        <v>40</v>
      </c>
      <c r="E36" s="322"/>
      <c r="F36" s="322"/>
      <c r="G36" s="322">
        <v>5</v>
      </c>
      <c r="H36" s="322"/>
      <c r="I36" s="322"/>
      <c r="J36" s="322"/>
      <c r="K36" s="323"/>
      <c r="L36" s="349"/>
      <c r="M36" s="350"/>
      <c r="N36" s="350"/>
      <c r="O36" s="350"/>
      <c r="P36" s="350"/>
      <c r="Q36" s="350"/>
      <c r="R36" s="350"/>
      <c r="S36" s="350"/>
      <c r="T36" s="350"/>
      <c r="U36" s="351"/>
      <c r="V36" s="349"/>
      <c r="W36" s="350"/>
      <c r="X36" s="350"/>
      <c r="Y36" s="350"/>
      <c r="Z36" s="350"/>
      <c r="AA36" s="350"/>
      <c r="AB36" s="350"/>
      <c r="AC36" s="350"/>
      <c r="AD36" s="350"/>
      <c r="AE36" s="350"/>
      <c r="AF36" s="350"/>
      <c r="AG36" s="350"/>
      <c r="AH36" s="350"/>
      <c r="AI36" s="350"/>
      <c r="AJ36" s="351"/>
      <c r="AK36" s="349"/>
      <c r="AL36" s="350"/>
      <c r="AM36" s="350"/>
      <c r="AN36" s="350"/>
      <c r="AO36" s="350"/>
      <c r="AP36" s="350"/>
      <c r="AQ36" s="350"/>
      <c r="AR36" s="350"/>
      <c r="AS36" s="350"/>
      <c r="AT36" s="350"/>
      <c r="AU36" s="350"/>
      <c r="AV36" s="350"/>
      <c r="AW36" s="350"/>
      <c r="AX36" s="350"/>
      <c r="AY36" s="351"/>
      <c r="AZ36" s="199"/>
      <c r="BA36" s="199"/>
      <c r="BB36" s="199"/>
      <c r="BC36" s="199"/>
    </row>
    <row r="37" spans="1:55" ht="15.75" x14ac:dyDescent="0.25">
      <c r="A37" s="1423"/>
      <c r="B37" s="352" t="s">
        <v>522</v>
      </c>
      <c r="C37" s="330"/>
      <c r="D37" s="331">
        <v>40</v>
      </c>
      <c r="E37" s="332"/>
      <c r="F37" s="332"/>
      <c r="G37" s="332">
        <v>5</v>
      </c>
      <c r="H37" s="332"/>
      <c r="I37" s="332"/>
      <c r="J37" s="332"/>
      <c r="K37" s="333"/>
      <c r="L37" s="334"/>
      <c r="M37" s="335"/>
      <c r="N37" s="335"/>
      <c r="O37" s="335"/>
      <c r="P37" s="335"/>
      <c r="Q37" s="335"/>
      <c r="R37" s="335"/>
      <c r="S37" s="335"/>
      <c r="T37" s="335"/>
      <c r="U37" s="336"/>
      <c r="V37" s="334"/>
      <c r="W37" s="335"/>
      <c r="X37" s="335"/>
      <c r="Y37" s="335"/>
      <c r="Z37" s="335"/>
      <c r="AA37" s="335"/>
      <c r="AB37" s="335"/>
      <c r="AC37" s="335"/>
      <c r="AD37" s="335"/>
      <c r="AE37" s="335"/>
      <c r="AF37" s="335"/>
      <c r="AG37" s="335"/>
      <c r="AH37" s="335"/>
      <c r="AI37" s="335"/>
      <c r="AJ37" s="336"/>
      <c r="AK37" s="334"/>
      <c r="AL37" s="335"/>
      <c r="AM37" s="335"/>
      <c r="AN37" s="335"/>
      <c r="AO37" s="335"/>
      <c r="AP37" s="335"/>
      <c r="AQ37" s="335"/>
      <c r="AR37" s="335"/>
      <c r="AS37" s="335"/>
      <c r="AT37" s="335"/>
      <c r="AU37" s="335"/>
      <c r="AV37" s="335"/>
      <c r="AW37" s="335"/>
      <c r="AX37" s="335"/>
      <c r="AY37" s="336"/>
      <c r="AZ37" s="199"/>
      <c r="BA37" s="199"/>
      <c r="BB37" s="199"/>
      <c r="BC37" s="199"/>
    </row>
    <row r="38" spans="1:55" ht="15.75" x14ac:dyDescent="0.25">
      <c r="A38" s="1423"/>
      <c r="B38" s="352" t="s">
        <v>523</v>
      </c>
      <c r="C38" s="330"/>
      <c r="D38" s="331">
        <v>40</v>
      </c>
      <c r="E38" s="332"/>
      <c r="F38" s="332"/>
      <c r="G38" s="332">
        <v>5</v>
      </c>
      <c r="H38" s="332"/>
      <c r="I38" s="332"/>
      <c r="J38" s="332"/>
      <c r="K38" s="333"/>
      <c r="L38" s="334"/>
      <c r="M38" s="335"/>
      <c r="N38" s="335"/>
      <c r="O38" s="335"/>
      <c r="P38" s="335"/>
      <c r="Q38" s="335"/>
      <c r="R38" s="335"/>
      <c r="S38" s="335"/>
      <c r="T38" s="335"/>
      <c r="U38" s="336"/>
      <c r="V38" s="334"/>
      <c r="W38" s="335"/>
      <c r="X38" s="335"/>
      <c r="Y38" s="335"/>
      <c r="Z38" s="335"/>
      <c r="AA38" s="335"/>
      <c r="AB38" s="335"/>
      <c r="AC38" s="335"/>
      <c r="AD38" s="335"/>
      <c r="AE38" s="335"/>
      <c r="AF38" s="335"/>
      <c r="AG38" s="335"/>
      <c r="AH38" s="335"/>
      <c r="AI38" s="335"/>
      <c r="AJ38" s="336"/>
      <c r="AK38" s="334"/>
      <c r="AL38" s="335"/>
      <c r="AM38" s="335"/>
      <c r="AN38" s="335"/>
      <c r="AO38" s="335"/>
      <c r="AP38" s="335"/>
      <c r="AQ38" s="335"/>
      <c r="AR38" s="335"/>
      <c r="AS38" s="335"/>
      <c r="AT38" s="335"/>
      <c r="AU38" s="335"/>
      <c r="AV38" s="335"/>
      <c r="AW38" s="335"/>
      <c r="AX38" s="335"/>
      <c r="AY38" s="336"/>
      <c r="AZ38" s="199"/>
      <c r="BA38" s="199"/>
      <c r="BB38" s="199"/>
      <c r="BC38" s="199"/>
    </row>
    <row r="39" spans="1:55" ht="15.75" x14ac:dyDescent="0.25">
      <c r="A39" s="1423"/>
      <c r="B39" s="352" t="s">
        <v>524</v>
      </c>
      <c r="C39" s="330"/>
      <c r="D39" s="331">
        <v>40</v>
      </c>
      <c r="E39" s="332"/>
      <c r="F39" s="332"/>
      <c r="G39" s="332">
        <v>5</v>
      </c>
      <c r="H39" s="332"/>
      <c r="I39" s="332"/>
      <c r="J39" s="332"/>
      <c r="K39" s="333"/>
      <c r="L39" s="334"/>
      <c r="M39" s="335"/>
      <c r="N39" s="335"/>
      <c r="O39" s="335"/>
      <c r="P39" s="335"/>
      <c r="Q39" s="335"/>
      <c r="R39" s="335"/>
      <c r="S39" s="335"/>
      <c r="T39" s="335"/>
      <c r="U39" s="336"/>
      <c r="V39" s="334"/>
      <c r="W39" s="335"/>
      <c r="X39" s="335"/>
      <c r="Y39" s="335"/>
      <c r="Z39" s="335"/>
      <c r="AA39" s="335"/>
      <c r="AB39" s="335"/>
      <c r="AC39" s="335"/>
      <c r="AD39" s="335"/>
      <c r="AE39" s="335"/>
      <c r="AF39" s="335"/>
      <c r="AG39" s="335"/>
      <c r="AH39" s="335"/>
      <c r="AI39" s="335"/>
      <c r="AJ39" s="336"/>
      <c r="AK39" s="334"/>
      <c r="AL39" s="335"/>
      <c r="AM39" s="335"/>
      <c r="AN39" s="335"/>
      <c r="AO39" s="335"/>
      <c r="AP39" s="335"/>
      <c r="AQ39" s="335"/>
      <c r="AR39" s="335"/>
      <c r="AS39" s="335"/>
      <c r="AT39" s="335"/>
      <c r="AU39" s="335"/>
      <c r="AV39" s="335"/>
      <c r="AW39" s="335"/>
      <c r="AX39" s="335"/>
      <c r="AY39" s="336"/>
      <c r="AZ39" s="199"/>
      <c r="BA39" s="199"/>
      <c r="BB39" s="199"/>
      <c r="BC39" s="199"/>
    </row>
    <row r="40" spans="1:55" ht="15.75" x14ac:dyDescent="0.25">
      <c r="A40" s="1423"/>
      <c r="B40" s="352" t="s">
        <v>525</v>
      </c>
      <c r="C40" s="330"/>
      <c r="D40" s="331">
        <v>40</v>
      </c>
      <c r="E40" s="332"/>
      <c r="F40" s="332"/>
      <c r="G40" s="332">
        <v>5</v>
      </c>
      <c r="H40" s="332"/>
      <c r="I40" s="332"/>
      <c r="J40" s="332"/>
      <c r="K40" s="333"/>
      <c r="L40" s="334"/>
      <c r="M40" s="335"/>
      <c r="N40" s="335"/>
      <c r="O40" s="335"/>
      <c r="P40" s="335"/>
      <c r="Q40" s="335"/>
      <c r="R40" s="335"/>
      <c r="S40" s="335"/>
      <c r="T40" s="335"/>
      <c r="U40" s="336"/>
      <c r="V40" s="334"/>
      <c r="W40" s="335"/>
      <c r="X40" s="335"/>
      <c r="Y40" s="335"/>
      <c r="Z40" s="335"/>
      <c r="AA40" s="335"/>
      <c r="AB40" s="335"/>
      <c r="AC40" s="335"/>
      <c r="AD40" s="335"/>
      <c r="AE40" s="335"/>
      <c r="AF40" s="335"/>
      <c r="AG40" s="335"/>
      <c r="AH40" s="335"/>
      <c r="AI40" s="335"/>
      <c r="AJ40" s="336"/>
      <c r="AK40" s="334"/>
      <c r="AL40" s="335"/>
      <c r="AM40" s="335"/>
      <c r="AN40" s="335"/>
      <c r="AO40" s="335"/>
      <c r="AP40" s="335"/>
      <c r="AQ40" s="335"/>
      <c r="AR40" s="335"/>
      <c r="AS40" s="335"/>
      <c r="AT40" s="335"/>
      <c r="AU40" s="335"/>
      <c r="AV40" s="335"/>
      <c r="AW40" s="335"/>
      <c r="AX40" s="335"/>
      <c r="AY40" s="336"/>
      <c r="AZ40" s="199"/>
      <c r="BA40" s="199"/>
      <c r="BB40" s="199"/>
      <c r="BC40" s="199"/>
    </row>
    <row r="41" spans="1:55" ht="15.75" x14ac:dyDescent="0.25">
      <c r="A41" s="1423"/>
      <c r="B41" s="352" t="s">
        <v>526</v>
      </c>
      <c r="C41" s="330"/>
      <c r="D41" s="331">
        <v>40</v>
      </c>
      <c r="E41" s="332"/>
      <c r="F41" s="332"/>
      <c r="G41" s="332">
        <v>5</v>
      </c>
      <c r="H41" s="332"/>
      <c r="I41" s="332"/>
      <c r="J41" s="332"/>
      <c r="K41" s="333"/>
      <c r="L41" s="334"/>
      <c r="M41" s="335"/>
      <c r="N41" s="335"/>
      <c r="O41" s="335"/>
      <c r="P41" s="335"/>
      <c r="Q41" s="335"/>
      <c r="R41" s="335"/>
      <c r="S41" s="335"/>
      <c r="T41" s="335"/>
      <c r="U41" s="336"/>
      <c r="V41" s="334"/>
      <c r="W41" s="335"/>
      <c r="X41" s="335"/>
      <c r="Y41" s="335"/>
      <c r="Z41" s="335"/>
      <c r="AA41" s="335"/>
      <c r="AB41" s="335"/>
      <c r="AC41" s="335"/>
      <c r="AD41" s="335"/>
      <c r="AE41" s="335"/>
      <c r="AF41" s="335"/>
      <c r="AG41" s="335"/>
      <c r="AH41" s="335"/>
      <c r="AI41" s="335"/>
      <c r="AJ41" s="336"/>
      <c r="AK41" s="334"/>
      <c r="AL41" s="335"/>
      <c r="AM41" s="335"/>
      <c r="AN41" s="335"/>
      <c r="AO41" s="335"/>
      <c r="AP41" s="335"/>
      <c r="AQ41" s="335"/>
      <c r="AR41" s="335"/>
      <c r="AS41" s="335"/>
      <c r="AT41" s="335"/>
      <c r="AU41" s="335"/>
      <c r="AV41" s="335"/>
      <c r="AW41" s="335"/>
      <c r="AX41" s="335"/>
      <c r="AY41" s="336"/>
      <c r="AZ41" s="199"/>
      <c r="BA41" s="199"/>
      <c r="BB41" s="199"/>
      <c r="BC41" s="199"/>
    </row>
    <row r="42" spans="1:55" ht="15.75" x14ac:dyDescent="0.25">
      <c r="A42" s="1423"/>
      <c r="B42" s="352" t="s">
        <v>527</v>
      </c>
      <c r="C42" s="330"/>
      <c r="D42" s="331">
        <v>40</v>
      </c>
      <c r="E42" s="332"/>
      <c r="F42" s="332"/>
      <c r="G42" s="332">
        <v>5</v>
      </c>
      <c r="H42" s="332"/>
      <c r="I42" s="332"/>
      <c r="J42" s="332"/>
      <c r="K42" s="333"/>
      <c r="L42" s="334"/>
      <c r="M42" s="335"/>
      <c r="N42" s="335"/>
      <c r="O42" s="335"/>
      <c r="P42" s="335"/>
      <c r="Q42" s="335"/>
      <c r="R42" s="335"/>
      <c r="S42" s="335"/>
      <c r="T42" s="335"/>
      <c r="U42" s="336"/>
      <c r="V42" s="334"/>
      <c r="W42" s="335"/>
      <c r="X42" s="335"/>
      <c r="Y42" s="335"/>
      <c r="Z42" s="335"/>
      <c r="AA42" s="335"/>
      <c r="AB42" s="335"/>
      <c r="AC42" s="335"/>
      <c r="AD42" s="335"/>
      <c r="AE42" s="335"/>
      <c r="AF42" s="335"/>
      <c r="AG42" s="335"/>
      <c r="AH42" s="335"/>
      <c r="AI42" s="335"/>
      <c r="AJ42" s="336"/>
      <c r="AK42" s="334"/>
      <c r="AL42" s="335"/>
      <c r="AM42" s="335"/>
      <c r="AN42" s="335"/>
      <c r="AO42" s="335"/>
      <c r="AP42" s="335"/>
      <c r="AQ42" s="335"/>
      <c r="AR42" s="335"/>
      <c r="AS42" s="335"/>
      <c r="AT42" s="335"/>
      <c r="AU42" s="335"/>
      <c r="AV42" s="335"/>
      <c r="AW42" s="335"/>
      <c r="AX42" s="335"/>
      <c r="AY42" s="336"/>
      <c r="AZ42" s="199"/>
      <c r="BA42" s="199"/>
      <c r="BB42" s="199"/>
      <c r="BC42" s="199"/>
    </row>
    <row r="43" spans="1:55" ht="15.75" x14ac:dyDescent="0.25">
      <c r="A43" s="1423"/>
      <c r="B43" s="352" t="s">
        <v>528</v>
      </c>
      <c r="C43" s="330"/>
      <c r="D43" s="331">
        <v>40</v>
      </c>
      <c r="E43" s="332"/>
      <c r="F43" s="332"/>
      <c r="G43" s="332">
        <v>5</v>
      </c>
      <c r="H43" s="332"/>
      <c r="I43" s="332"/>
      <c r="J43" s="332"/>
      <c r="K43" s="333"/>
      <c r="L43" s="334"/>
      <c r="M43" s="335"/>
      <c r="N43" s="335"/>
      <c r="O43" s="335"/>
      <c r="P43" s="335"/>
      <c r="Q43" s="335"/>
      <c r="R43" s="335"/>
      <c r="S43" s="335"/>
      <c r="T43" s="335"/>
      <c r="U43" s="336"/>
      <c r="V43" s="334"/>
      <c r="W43" s="335"/>
      <c r="X43" s="335"/>
      <c r="Y43" s="335"/>
      <c r="Z43" s="335"/>
      <c r="AA43" s="335"/>
      <c r="AB43" s="335"/>
      <c r="AC43" s="335"/>
      <c r="AD43" s="335"/>
      <c r="AE43" s="335"/>
      <c r="AF43" s="335"/>
      <c r="AG43" s="335"/>
      <c r="AH43" s="335"/>
      <c r="AI43" s="335"/>
      <c r="AJ43" s="336"/>
      <c r="AK43" s="334"/>
      <c r="AL43" s="335"/>
      <c r="AM43" s="335"/>
      <c r="AN43" s="335"/>
      <c r="AO43" s="335"/>
      <c r="AP43" s="335"/>
      <c r="AQ43" s="335"/>
      <c r="AR43" s="335"/>
      <c r="AS43" s="335"/>
      <c r="AT43" s="335"/>
      <c r="AU43" s="335"/>
      <c r="AV43" s="335"/>
      <c r="AW43" s="335"/>
      <c r="AX43" s="335"/>
      <c r="AY43" s="336"/>
      <c r="AZ43" s="199"/>
      <c r="BA43" s="199"/>
      <c r="BB43" s="199"/>
      <c r="BC43" s="199"/>
    </row>
    <row r="44" spans="1:55" ht="15.75" x14ac:dyDescent="0.25">
      <c r="A44" s="1423"/>
      <c r="B44" s="352" t="s">
        <v>529</v>
      </c>
      <c r="C44" s="330"/>
      <c r="D44" s="331">
        <v>40</v>
      </c>
      <c r="E44" s="332"/>
      <c r="F44" s="332"/>
      <c r="G44" s="332">
        <v>5</v>
      </c>
      <c r="H44" s="332"/>
      <c r="I44" s="332"/>
      <c r="J44" s="332"/>
      <c r="K44" s="333"/>
      <c r="L44" s="334"/>
      <c r="M44" s="335"/>
      <c r="N44" s="335"/>
      <c r="O44" s="335"/>
      <c r="P44" s="335"/>
      <c r="Q44" s="335"/>
      <c r="R44" s="335"/>
      <c r="S44" s="335"/>
      <c r="T44" s="335"/>
      <c r="U44" s="336"/>
      <c r="V44" s="334"/>
      <c r="W44" s="335"/>
      <c r="X44" s="335"/>
      <c r="Y44" s="335"/>
      <c r="Z44" s="335"/>
      <c r="AA44" s="335"/>
      <c r="AB44" s="335"/>
      <c r="AC44" s="335"/>
      <c r="AD44" s="335"/>
      <c r="AE44" s="335"/>
      <c r="AF44" s="335"/>
      <c r="AG44" s="335"/>
      <c r="AH44" s="335"/>
      <c r="AI44" s="335"/>
      <c r="AJ44" s="336"/>
      <c r="AK44" s="334"/>
      <c r="AL44" s="335"/>
      <c r="AM44" s="335"/>
      <c r="AN44" s="335"/>
      <c r="AO44" s="335"/>
      <c r="AP44" s="335"/>
      <c r="AQ44" s="335"/>
      <c r="AR44" s="335"/>
      <c r="AS44" s="335"/>
      <c r="AT44" s="335"/>
      <c r="AU44" s="335"/>
      <c r="AV44" s="335"/>
      <c r="AW44" s="335"/>
      <c r="AX44" s="335"/>
      <c r="AY44" s="336"/>
      <c r="AZ44" s="199"/>
      <c r="BA44" s="199"/>
      <c r="BB44" s="199"/>
      <c r="BC44" s="199"/>
    </row>
    <row r="45" spans="1:55" ht="15.75" x14ac:dyDescent="0.25">
      <c r="A45" s="1423"/>
      <c r="B45" s="353" t="s">
        <v>539</v>
      </c>
      <c r="C45" s="354"/>
      <c r="D45" s="331">
        <v>25</v>
      </c>
      <c r="E45" s="332"/>
      <c r="F45" s="332"/>
      <c r="G45" s="332">
        <v>5</v>
      </c>
      <c r="H45" s="332"/>
      <c r="I45" s="332"/>
      <c r="J45" s="332"/>
      <c r="K45" s="333"/>
      <c r="L45" s="345"/>
      <c r="M45" s="346"/>
      <c r="N45" s="346"/>
      <c r="O45" s="346"/>
      <c r="P45" s="346"/>
      <c r="Q45" s="346"/>
      <c r="R45" s="346"/>
      <c r="S45" s="346"/>
      <c r="T45" s="346"/>
      <c r="U45" s="347"/>
      <c r="V45" s="345"/>
      <c r="W45" s="346"/>
      <c r="X45" s="346"/>
      <c r="Y45" s="346"/>
      <c r="Z45" s="346"/>
      <c r="AA45" s="346"/>
      <c r="AB45" s="346"/>
      <c r="AC45" s="346"/>
      <c r="AD45" s="346"/>
      <c r="AE45" s="346"/>
      <c r="AF45" s="346"/>
      <c r="AG45" s="346"/>
      <c r="AH45" s="346"/>
      <c r="AI45" s="346"/>
      <c r="AJ45" s="347"/>
      <c r="AK45" s="345"/>
      <c r="AL45" s="346"/>
      <c r="AM45" s="346"/>
      <c r="AN45" s="346"/>
      <c r="AO45" s="346"/>
      <c r="AP45" s="346"/>
      <c r="AQ45" s="346"/>
      <c r="AR45" s="346"/>
      <c r="AS45" s="346"/>
      <c r="AT45" s="346"/>
      <c r="AU45" s="346"/>
      <c r="AV45" s="346"/>
      <c r="AW45" s="346"/>
      <c r="AX45" s="346"/>
      <c r="AY45" s="347"/>
      <c r="AZ45" s="199"/>
      <c r="BA45" s="199"/>
      <c r="BB45" s="199"/>
      <c r="BC45" s="199"/>
    </row>
    <row r="46" spans="1:55" ht="16.5" thickBot="1" x14ac:dyDescent="0.3">
      <c r="A46" s="1424"/>
      <c r="B46" s="355" t="s">
        <v>530</v>
      </c>
      <c r="C46" s="338"/>
      <c r="D46" s="339">
        <v>40</v>
      </c>
      <c r="E46" s="340"/>
      <c r="F46" s="340"/>
      <c r="G46" s="340">
        <v>5</v>
      </c>
      <c r="H46" s="340"/>
      <c r="I46" s="340"/>
      <c r="J46" s="340"/>
      <c r="K46" s="341"/>
      <c r="L46" s="342"/>
      <c r="M46" s="343"/>
      <c r="N46" s="343"/>
      <c r="O46" s="343"/>
      <c r="P46" s="343"/>
      <c r="Q46" s="343"/>
      <c r="R46" s="343"/>
      <c r="S46" s="343"/>
      <c r="T46" s="343"/>
      <c r="U46" s="344"/>
      <c r="V46" s="342"/>
      <c r="W46" s="343"/>
      <c r="X46" s="343"/>
      <c r="Y46" s="343"/>
      <c r="Z46" s="343"/>
      <c r="AA46" s="343"/>
      <c r="AB46" s="343"/>
      <c r="AC46" s="343"/>
      <c r="AD46" s="343"/>
      <c r="AE46" s="343"/>
      <c r="AF46" s="343"/>
      <c r="AG46" s="343"/>
      <c r="AH46" s="343"/>
      <c r="AI46" s="343"/>
      <c r="AJ46" s="344"/>
      <c r="AK46" s="342"/>
      <c r="AL46" s="343"/>
      <c r="AM46" s="343"/>
      <c r="AN46" s="343"/>
      <c r="AO46" s="343"/>
      <c r="AP46" s="343"/>
      <c r="AQ46" s="343"/>
      <c r="AR46" s="343"/>
      <c r="AS46" s="343"/>
      <c r="AT46" s="343"/>
      <c r="AU46" s="343"/>
      <c r="AV46" s="343"/>
      <c r="AW46" s="343"/>
      <c r="AX46" s="343"/>
      <c r="AY46" s="344"/>
      <c r="AZ46" s="199"/>
      <c r="BA46" s="199"/>
      <c r="BB46" s="199"/>
      <c r="BC46" s="199"/>
    </row>
    <row r="47" spans="1:55" ht="15.75" x14ac:dyDescent="0.25">
      <c r="A47" s="1432" t="s">
        <v>328</v>
      </c>
      <c r="B47" s="348" t="s">
        <v>531</v>
      </c>
      <c r="C47" s="320"/>
      <c r="D47" s="321">
        <v>30</v>
      </c>
      <c r="E47" s="322"/>
      <c r="F47" s="322"/>
      <c r="G47" s="322">
        <v>5</v>
      </c>
      <c r="H47" s="322"/>
      <c r="I47" s="322"/>
      <c r="J47" s="322"/>
      <c r="K47" s="323"/>
      <c r="L47" s="324"/>
      <c r="M47" s="325"/>
      <c r="N47" s="325"/>
      <c r="O47" s="325"/>
      <c r="P47" s="325"/>
      <c r="Q47" s="325"/>
      <c r="R47" s="325"/>
      <c r="S47" s="325"/>
      <c r="T47" s="325"/>
      <c r="U47" s="326"/>
      <c r="V47" s="324"/>
      <c r="W47" s="325"/>
      <c r="X47" s="325"/>
      <c r="Y47" s="325"/>
      <c r="Z47" s="325"/>
      <c r="AA47" s="325"/>
      <c r="AB47" s="325"/>
      <c r="AC47" s="325"/>
      <c r="AD47" s="325"/>
      <c r="AE47" s="325"/>
      <c r="AF47" s="325"/>
      <c r="AG47" s="325"/>
      <c r="AH47" s="325"/>
      <c r="AI47" s="325"/>
      <c r="AJ47" s="326"/>
      <c r="AK47" s="324"/>
      <c r="AL47" s="325"/>
      <c r="AM47" s="325"/>
      <c r="AN47" s="325"/>
      <c r="AO47" s="325"/>
      <c r="AP47" s="325"/>
      <c r="AQ47" s="325"/>
      <c r="AR47" s="325"/>
      <c r="AS47" s="325"/>
      <c r="AT47" s="325"/>
      <c r="AU47" s="325"/>
      <c r="AV47" s="325"/>
      <c r="AW47" s="325"/>
      <c r="AX47" s="325"/>
      <c r="AY47" s="326"/>
      <c r="AZ47" s="199"/>
      <c r="BA47" s="199"/>
      <c r="BB47" s="199"/>
      <c r="BC47" s="199"/>
    </row>
    <row r="48" spans="1:55" ht="15.75" x14ac:dyDescent="0.25">
      <c r="A48" s="1432"/>
      <c r="B48" s="352" t="s">
        <v>532</v>
      </c>
      <c r="C48" s="330"/>
      <c r="D48" s="331">
        <v>30</v>
      </c>
      <c r="E48" s="332"/>
      <c r="F48" s="332"/>
      <c r="G48" s="332">
        <v>5</v>
      </c>
      <c r="H48" s="332"/>
      <c r="I48" s="332"/>
      <c r="J48" s="332"/>
      <c r="K48" s="333"/>
      <c r="L48" s="334"/>
      <c r="M48" s="335"/>
      <c r="N48" s="335"/>
      <c r="O48" s="335"/>
      <c r="P48" s="335"/>
      <c r="Q48" s="335"/>
      <c r="R48" s="335"/>
      <c r="S48" s="335"/>
      <c r="T48" s="335"/>
      <c r="U48" s="336"/>
      <c r="V48" s="334"/>
      <c r="W48" s="335"/>
      <c r="X48" s="335"/>
      <c r="Y48" s="335"/>
      <c r="Z48" s="335"/>
      <c r="AA48" s="335"/>
      <c r="AB48" s="335"/>
      <c r="AC48" s="335"/>
      <c r="AD48" s="335"/>
      <c r="AE48" s="335"/>
      <c r="AF48" s="335"/>
      <c r="AG48" s="335"/>
      <c r="AH48" s="335"/>
      <c r="AI48" s="335"/>
      <c r="AJ48" s="336"/>
      <c r="AK48" s="334"/>
      <c r="AL48" s="335"/>
      <c r="AM48" s="335"/>
      <c r="AN48" s="335"/>
      <c r="AO48" s="335"/>
      <c r="AP48" s="335"/>
      <c r="AQ48" s="335"/>
      <c r="AR48" s="335"/>
      <c r="AS48" s="335"/>
      <c r="AT48" s="335"/>
      <c r="AU48" s="335"/>
      <c r="AV48" s="335"/>
      <c r="AW48" s="335"/>
      <c r="AX48" s="335"/>
      <c r="AY48" s="336"/>
      <c r="AZ48" s="199"/>
      <c r="BA48" s="199"/>
      <c r="BB48" s="199"/>
      <c r="BC48" s="199"/>
    </row>
    <row r="49" spans="1:55" ht="15.75" x14ac:dyDescent="0.25">
      <c r="A49" s="1432"/>
      <c r="B49" s="352" t="s">
        <v>533</v>
      </c>
      <c r="C49" s="330"/>
      <c r="D49" s="331">
        <v>30</v>
      </c>
      <c r="E49" s="332"/>
      <c r="F49" s="332"/>
      <c r="G49" s="332">
        <v>5</v>
      </c>
      <c r="H49" s="332"/>
      <c r="I49" s="332"/>
      <c r="J49" s="332"/>
      <c r="K49" s="333"/>
      <c r="L49" s="334"/>
      <c r="M49" s="335"/>
      <c r="N49" s="335"/>
      <c r="O49" s="335"/>
      <c r="P49" s="335"/>
      <c r="Q49" s="335"/>
      <c r="R49" s="335"/>
      <c r="S49" s="335"/>
      <c r="T49" s="335"/>
      <c r="U49" s="336"/>
      <c r="V49" s="334"/>
      <c r="W49" s="335"/>
      <c r="X49" s="335"/>
      <c r="Y49" s="335"/>
      <c r="Z49" s="335"/>
      <c r="AA49" s="335"/>
      <c r="AB49" s="335"/>
      <c r="AC49" s="335"/>
      <c r="AD49" s="335"/>
      <c r="AE49" s="335"/>
      <c r="AF49" s="335"/>
      <c r="AG49" s="335"/>
      <c r="AH49" s="335"/>
      <c r="AI49" s="335"/>
      <c r="AJ49" s="336"/>
      <c r="AK49" s="334"/>
      <c r="AL49" s="335"/>
      <c r="AM49" s="335"/>
      <c r="AN49" s="335"/>
      <c r="AO49" s="335"/>
      <c r="AP49" s="335"/>
      <c r="AQ49" s="335"/>
      <c r="AR49" s="335"/>
      <c r="AS49" s="335"/>
      <c r="AT49" s="335"/>
      <c r="AU49" s="335"/>
      <c r="AV49" s="335"/>
      <c r="AW49" s="335"/>
      <c r="AX49" s="335"/>
      <c r="AY49" s="336"/>
      <c r="AZ49" s="199"/>
      <c r="BA49" s="199"/>
      <c r="BB49" s="199"/>
      <c r="BC49" s="199"/>
    </row>
    <row r="50" spans="1:55" ht="15.75" x14ac:dyDescent="0.25">
      <c r="A50" s="1432"/>
      <c r="B50" s="352" t="s">
        <v>534</v>
      </c>
      <c r="C50" s="330"/>
      <c r="D50" s="331">
        <v>30</v>
      </c>
      <c r="E50" s="332"/>
      <c r="F50" s="332"/>
      <c r="G50" s="332">
        <v>5</v>
      </c>
      <c r="H50" s="332"/>
      <c r="I50" s="332"/>
      <c r="J50" s="332"/>
      <c r="K50" s="333"/>
      <c r="L50" s="334"/>
      <c r="M50" s="335"/>
      <c r="N50" s="335"/>
      <c r="O50" s="335"/>
      <c r="P50" s="335"/>
      <c r="Q50" s="335"/>
      <c r="R50" s="335"/>
      <c r="S50" s="335"/>
      <c r="T50" s="335"/>
      <c r="U50" s="336"/>
      <c r="V50" s="334"/>
      <c r="W50" s="335"/>
      <c r="X50" s="335"/>
      <c r="Y50" s="335"/>
      <c r="Z50" s="335"/>
      <c r="AA50" s="335"/>
      <c r="AB50" s="335"/>
      <c r="AC50" s="335"/>
      <c r="AD50" s="335"/>
      <c r="AE50" s="335"/>
      <c r="AF50" s="335"/>
      <c r="AG50" s="335"/>
      <c r="AH50" s="335"/>
      <c r="AI50" s="335"/>
      <c r="AJ50" s="336"/>
      <c r="AK50" s="334"/>
      <c r="AL50" s="335"/>
      <c r="AM50" s="335"/>
      <c r="AN50" s="335"/>
      <c r="AO50" s="335"/>
      <c r="AP50" s="335"/>
      <c r="AQ50" s="335"/>
      <c r="AR50" s="335"/>
      <c r="AS50" s="335"/>
      <c r="AT50" s="335"/>
      <c r="AU50" s="335"/>
      <c r="AV50" s="335"/>
      <c r="AW50" s="335"/>
      <c r="AX50" s="335"/>
      <c r="AY50" s="336"/>
      <c r="AZ50" s="199"/>
      <c r="BA50" s="199"/>
      <c r="BB50" s="199"/>
      <c r="BC50" s="199"/>
    </row>
    <row r="51" spans="1:55" ht="15.75" x14ac:dyDescent="0.25">
      <c r="A51" s="1432"/>
      <c r="B51" s="352" t="s">
        <v>535</v>
      </c>
      <c r="C51" s="330"/>
      <c r="D51" s="331">
        <v>30</v>
      </c>
      <c r="E51" s="332"/>
      <c r="F51" s="332"/>
      <c r="G51" s="332">
        <v>5</v>
      </c>
      <c r="H51" s="332"/>
      <c r="I51" s="332"/>
      <c r="J51" s="332"/>
      <c r="K51" s="333"/>
      <c r="L51" s="334"/>
      <c r="M51" s="335"/>
      <c r="N51" s="335"/>
      <c r="O51" s="335"/>
      <c r="P51" s="335"/>
      <c r="Q51" s="335"/>
      <c r="R51" s="335"/>
      <c r="S51" s="335"/>
      <c r="T51" s="335"/>
      <c r="U51" s="336"/>
      <c r="V51" s="334"/>
      <c r="W51" s="335"/>
      <c r="X51" s="335"/>
      <c r="Y51" s="335"/>
      <c r="Z51" s="335"/>
      <c r="AA51" s="335"/>
      <c r="AB51" s="335"/>
      <c r="AC51" s="335"/>
      <c r="AD51" s="335"/>
      <c r="AE51" s="335"/>
      <c r="AF51" s="335"/>
      <c r="AG51" s="335"/>
      <c r="AH51" s="335"/>
      <c r="AI51" s="335"/>
      <c r="AJ51" s="336"/>
      <c r="AK51" s="334"/>
      <c r="AL51" s="335"/>
      <c r="AM51" s="335"/>
      <c r="AN51" s="335"/>
      <c r="AO51" s="335"/>
      <c r="AP51" s="335"/>
      <c r="AQ51" s="335"/>
      <c r="AR51" s="335"/>
      <c r="AS51" s="335"/>
      <c r="AT51" s="335"/>
      <c r="AU51" s="335"/>
      <c r="AV51" s="335"/>
      <c r="AW51" s="335"/>
      <c r="AX51" s="335"/>
      <c r="AY51" s="336"/>
      <c r="AZ51" s="199"/>
      <c r="BA51" s="199"/>
      <c r="BB51" s="199"/>
      <c r="BC51" s="199"/>
    </row>
    <row r="52" spans="1:55" ht="15.75" x14ac:dyDescent="0.25">
      <c r="A52" s="1432"/>
      <c r="B52" s="352" t="s">
        <v>536</v>
      </c>
      <c r="C52" s="330"/>
      <c r="D52" s="331">
        <v>30</v>
      </c>
      <c r="E52" s="332"/>
      <c r="F52" s="332"/>
      <c r="G52" s="332">
        <v>5</v>
      </c>
      <c r="H52" s="332"/>
      <c r="I52" s="332"/>
      <c r="J52" s="332"/>
      <c r="K52" s="333"/>
      <c r="L52" s="334"/>
      <c r="M52" s="335"/>
      <c r="N52" s="335"/>
      <c r="O52" s="335"/>
      <c r="P52" s="335"/>
      <c r="Q52" s="335"/>
      <c r="R52" s="335"/>
      <c r="S52" s="335"/>
      <c r="T52" s="335"/>
      <c r="U52" s="336"/>
      <c r="V52" s="334"/>
      <c r="W52" s="335"/>
      <c r="X52" s="335"/>
      <c r="Y52" s="335"/>
      <c r="Z52" s="335"/>
      <c r="AA52" s="335"/>
      <c r="AB52" s="335"/>
      <c r="AC52" s="335"/>
      <c r="AD52" s="335"/>
      <c r="AE52" s="335"/>
      <c r="AF52" s="335"/>
      <c r="AG52" s="335"/>
      <c r="AH52" s="335"/>
      <c r="AI52" s="335"/>
      <c r="AJ52" s="336"/>
      <c r="AK52" s="334"/>
      <c r="AL52" s="335"/>
      <c r="AM52" s="335"/>
      <c r="AN52" s="335"/>
      <c r="AO52" s="335"/>
      <c r="AP52" s="335"/>
      <c r="AQ52" s="335"/>
      <c r="AR52" s="335"/>
      <c r="AS52" s="335"/>
      <c r="AT52" s="335"/>
      <c r="AU52" s="335"/>
      <c r="AV52" s="335"/>
      <c r="AW52" s="335"/>
      <c r="AX52" s="335"/>
      <c r="AY52" s="336"/>
      <c r="AZ52" s="199"/>
      <c r="BA52" s="199"/>
      <c r="BB52" s="199"/>
      <c r="BC52" s="199"/>
    </row>
    <row r="53" spans="1:55" ht="15.75" x14ac:dyDescent="0.25">
      <c r="A53" s="1432"/>
      <c r="B53" s="352" t="s">
        <v>537</v>
      </c>
      <c r="C53" s="330"/>
      <c r="D53" s="331">
        <v>30</v>
      </c>
      <c r="E53" s="332"/>
      <c r="F53" s="332"/>
      <c r="G53" s="332">
        <v>5</v>
      </c>
      <c r="H53" s="332"/>
      <c r="I53" s="332"/>
      <c r="J53" s="332"/>
      <c r="K53" s="333"/>
      <c r="L53" s="334"/>
      <c r="M53" s="335"/>
      <c r="N53" s="335"/>
      <c r="O53" s="335"/>
      <c r="P53" s="335"/>
      <c r="Q53" s="335"/>
      <c r="R53" s="335"/>
      <c r="S53" s="335"/>
      <c r="T53" s="335"/>
      <c r="U53" s="336"/>
      <c r="V53" s="334"/>
      <c r="W53" s="335"/>
      <c r="X53" s="335"/>
      <c r="Y53" s="335"/>
      <c r="Z53" s="335"/>
      <c r="AA53" s="335"/>
      <c r="AB53" s="335"/>
      <c r="AC53" s="335"/>
      <c r="AD53" s="335"/>
      <c r="AE53" s="335"/>
      <c r="AF53" s="335"/>
      <c r="AG53" s="335"/>
      <c r="AH53" s="335"/>
      <c r="AI53" s="335"/>
      <c r="AJ53" s="336"/>
      <c r="AK53" s="334"/>
      <c r="AL53" s="335"/>
      <c r="AM53" s="335"/>
      <c r="AN53" s="335"/>
      <c r="AO53" s="335"/>
      <c r="AP53" s="335"/>
      <c r="AQ53" s="335"/>
      <c r="AR53" s="335"/>
      <c r="AS53" s="335"/>
      <c r="AT53" s="335"/>
      <c r="AU53" s="335"/>
      <c r="AV53" s="335"/>
      <c r="AW53" s="335"/>
      <c r="AX53" s="335"/>
      <c r="AY53" s="336"/>
      <c r="AZ53" s="199"/>
      <c r="BA53" s="199"/>
      <c r="BB53" s="199"/>
      <c r="BC53" s="199"/>
    </row>
    <row r="54" spans="1:55" ht="16.5" thickBot="1" x14ac:dyDescent="0.3">
      <c r="A54" s="1433"/>
      <c r="B54" s="355" t="s">
        <v>538</v>
      </c>
      <c r="C54" s="338"/>
      <c r="D54" s="339">
        <v>30</v>
      </c>
      <c r="E54" s="340"/>
      <c r="F54" s="340"/>
      <c r="G54" s="340">
        <v>5</v>
      </c>
      <c r="H54" s="340"/>
      <c r="I54" s="340"/>
      <c r="J54" s="340"/>
      <c r="K54" s="341"/>
      <c r="L54" s="342"/>
      <c r="M54" s="343"/>
      <c r="N54" s="343"/>
      <c r="O54" s="343"/>
      <c r="P54" s="343"/>
      <c r="Q54" s="343"/>
      <c r="R54" s="343"/>
      <c r="S54" s="343"/>
      <c r="T54" s="343"/>
      <c r="U54" s="344"/>
      <c r="V54" s="342"/>
      <c r="W54" s="343"/>
      <c r="X54" s="343"/>
      <c r="Y54" s="343"/>
      <c r="Z54" s="343"/>
      <c r="AA54" s="343"/>
      <c r="AB54" s="343"/>
      <c r="AC54" s="343"/>
      <c r="AD54" s="343"/>
      <c r="AE54" s="343"/>
      <c r="AF54" s="343"/>
      <c r="AG54" s="343"/>
      <c r="AH54" s="343"/>
      <c r="AI54" s="343"/>
      <c r="AJ54" s="344"/>
      <c r="AK54" s="342"/>
      <c r="AL54" s="343"/>
      <c r="AM54" s="343"/>
      <c r="AN54" s="343"/>
      <c r="AO54" s="343"/>
      <c r="AP54" s="343"/>
      <c r="AQ54" s="343"/>
      <c r="AR54" s="343"/>
      <c r="AS54" s="343"/>
      <c r="AT54" s="343"/>
      <c r="AU54" s="343"/>
      <c r="AV54" s="343"/>
      <c r="AW54" s="343"/>
      <c r="AX54" s="343"/>
      <c r="AY54" s="344"/>
      <c r="AZ54" s="199"/>
      <c r="BA54" s="199"/>
      <c r="BB54" s="199"/>
      <c r="BC54" s="199"/>
    </row>
    <row r="55" spans="1:55" ht="15.75" x14ac:dyDescent="0.25">
      <c r="A55" s="1434" t="s">
        <v>520</v>
      </c>
      <c r="B55" s="348" t="s">
        <v>421</v>
      </c>
      <c r="C55" s="320"/>
      <c r="D55" s="321">
        <v>30</v>
      </c>
      <c r="E55" s="322"/>
      <c r="F55" s="322"/>
      <c r="G55" s="322">
        <v>5</v>
      </c>
      <c r="H55" s="322"/>
      <c r="I55" s="322"/>
      <c r="J55" s="322"/>
      <c r="K55" s="323"/>
      <c r="L55" s="324"/>
      <c r="M55" s="325"/>
      <c r="N55" s="325"/>
      <c r="O55" s="325"/>
      <c r="P55" s="325"/>
      <c r="Q55" s="325"/>
      <c r="R55" s="325"/>
      <c r="S55" s="325"/>
      <c r="T55" s="325"/>
      <c r="U55" s="326"/>
      <c r="V55" s="324"/>
      <c r="W55" s="325"/>
      <c r="X55" s="325"/>
      <c r="Y55" s="325"/>
      <c r="Z55" s="325"/>
      <c r="AA55" s="325"/>
      <c r="AB55" s="325"/>
      <c r="AC55" s="325"/>
      <c r="AD55" s="325"/>
      <c r="AE55" s="325"/>
      <c r="AF55" s="325"/>
      <c r="AG55" s="325"/>
      <c r="AH55" s="325"/>
      <c r="AI55" s="325"/>
      <c r="AJ55" s="326"/>
      <c r="AK55" s="324"/>
      <c r="AL55" s="325"/>
      <c r="AM55" s="325"/>
      <c r="AN55" s="325"/>
      <c r="AO55" s="325"/>
      <c r="AP55" s="325"/>
      <c r="AQ55" s="325"/>
      <c r="AR55" s="325"/>
      <c r="AS55" s="325"/>
      <c r="AT55" s="325"/>
      <c r="AU55" s="325"/>
      <c r="AV55" s="325"/>
      <c r="AW55" s="325"/>
      <c r="AX55" s="325"/>
      <c r="AY55" s="326"/>
      <c r="AZ55" s="199"/>
      <c r="BA55" s="199"/>
      <c r="BB55" s="199"/>
      <c r="BC55" s="199"/>
    </row>
    <row r="56" spans="1:55" ht="15.75" x14ac:dyDescent="0.25">
      <c r="A56" s="1434"/>
      <c r="B56" s="352" t="s">
        <v>422</v>
      </c>
      <c r="C56" s="330"/>
      <c r="D56" s="331">
        <v>25</v>
      </c>
      <c r="E56" s="332"/>
      <c r="F56" s="332"/>
      <c r="G56" s="332">
        <v>5</v>
      </c>
      <c r="H56" s="332"/>
      <c r="I56" s="332"/>
      <c r="J56" s="332"/>
      <c r="K56" s="333"/>
      <c r="L56" s="334"/>
      <c r="M56" s="335"/>
      <c r="N56" s="335"/>
      <c r="O56" s="335"/>
      <c r="P56" s="335"/>
      <c r="Q56" s="335"/>
      <c r="R56" s="335"/>
      <c r="S56" s="335"/>
      <c r="T56" s="335"/>
      <c r="U56" s="336"/>
      <c r="V56" s="334"/>
      <c r="W56" s="335"/>
      <c r="X56" s="335"/>
      <c r="Y56" s="335"/>
      <c r="Z56" s="335"/>
      <c r="AA56" s="335"/>
      <c r="AB56" s="335"/>
      <c r="AC56" s="335"/>
      <c r="AD56" s="335"/>
      <c r="AE56" s="335"/>
      <c r="AF56" s="335"/>
      <c r="AG56" s="335"/>
      <c r="AH56" s="335"/>
      <c r="AI56" s="335"/>
      <c r="AJ56" s="336"/>
      <c r="AK56" s="334"/>
      <c r="AL56" s="335"/>
      <c r="AM56" s="335"/>
      <c r="AN56" s="335"/>
      <c r="AO56" s="335"/>
      <c r="AP56" s="335"/>
      <c r="AQ56" s="335"/>
      <c r="AR56" s="335"/>
      <c r="AS56" s="335"/>
      <c r="AT56" s="335"/>
      <c r="AU56" s="335"/>
      <c r="AV56" s="335"/>
      <c r="AW56" s="335"/>
      <c r="AX56" s="335"/>
      <c r="AY56" s="336"/>
      <c r="AZ56" s="199"/>
      <c r="BA56" s="199"/>
      <c r="BB56" s="199"/>
      <c r="BC56" s="199"/>
    </row>
    <row r="57" spans="1:55" ht="15.75" x14ac:dyDescent="0.25">
      <c r="A57" s="1434"/>
      <c r="B57" s="352" t="s">
        <v>423</v>
      </c>
      <c r="C57" s="330"/>
      <c r="D57" s="331">
        <v>25</v>
      </c>
      <c r="E57" s="332"/>
      <c r="F57" s="332"/>
      <c r="G57" s="332">
        <v>5</v>
      </c>
      <c r="H57" s="332"/>
      <c r="I57" s="332">
        <f>IF(COUNTIF(skill_select, "*Lore: Farm*")&gt;0, 2, 0)</f>
        <v>0</v>
      </c>
      <c r="J57" s="332"/>
      <c r="K57" s="333"/>
      <c r="L57" s="334"/>
      <c r="M57" s="335"/>
      <c r="N57" s="335"/>
      <c r="O57" s="335"/>
      <c r="P57" s="335"/>
      <c r="Q57" s="335"/>
      <c r="R57" s="335"/>
      <c r="S57" s="335"/>
      <c r="T57" s="335"/>
      <c r="U57" s="336"/>
      <c r="V57" s="334"/>
      <c r="W57" s="335"/>
      <c r="X57" s="335"/>
      <c r="Y57" s="335"/>
      <c r="Z57" s="335"/>
      <c r="AA57" s="335"/>
      <c r="AB57" s="335"/>
      <c r="AC57" s="335"/>
      <c r="AD57" s="335"/>
      <c r="AE57" s="335"/>
      <c r="AF57" s="335"/>
      <c r="AG57" s="335"/>
      <c r="AH57" s="335"/>
      <c r="AI57" s="335"/>
      <c r="AJ57" s="336"/>
      <c r="AK57" s="334"/>
      <c r="AL57" s="335"/>
      <c r="AM57" s="335"/>
      <c r="AN57" s="335"/>
      <c r="AO57" s="335"/>
      <c r="AP57" s="335"/>
      <c r="AQ57" s="335"/>
      <c r="AR57" s="335"/>
      <c r="AS57" s="335"/>
      <c r="AT57" s="335"/>
      <c r="AU57" s="335"/>
      <c r="AV57" s="335"/>
      <c r="AW57" s="335"/>
      <c r="AX57" s="335"/>
      <c r="AY57" s="336"/>
      <c r="AZ57" s="199"/>
      <c r="BA57" s="199"/>
      <c r="BB57" s="199"/>
      <c r="BC57" s="199"/>
    </row>
    <row r="58" spans="1:55" ht="15.75" x14ac:dyDescent="0.25">
      <c r="A58" s="1434"/>
      <c r="B58" s="352" t="s">
        <v>424</v>
      </c>
      <c r="C58" s="330"/>
      <c r="D58" s="331"/>
      <c r="E58" s="332"/>
      <c r="F58" s="332"/>
      <c r="G58" s="332"/>
      <c r="H58" s="332"/>
      <c r="I58" s="332"/>
      <c r="J58" s="332"/>
      <c r="K58" s="333"/>
      <c r="L58" s="334"/>
      <c r="M58" s="335"/>
      <c r="N58" s="335"/>
      <c r="O58" s="335"/>
      <c r="P58" s="335"/>
      <c r="Q58" s="335"/>
      <c r="R58" s="335"/>
      <c r="S58" s="335"/>
      <c r="T58" s="335"/>
      <c r="U58" s="336"/>
      <c r="V58" s="334"/>
      <c r="W58" s="335"/>
      <c r="X58" s="335"/>
      <c r="Y58" s="335"/>
      <c r="Z58" s="335"/>
      <c r="AA58" s="335"/>
      <c r="AB58" s="335"/>
      <c r="AC58" s="335"/>
      <c r="AD58" s="335"/>
      <c r="AE58" s="335"/>
      <c r="AF58" s="335"/>
      <c r="AG58" s="335"/>
      <c r="AH58" s="335"/>
      <c r="AI58" s="335"/>
      <c r="AJ58" s="336"/>
      <c r="AK58" s="334"/>
      <c r="AL58" s="335"/>
      <c r="AM58" s="335"/>
      <c r="AN58" s="335"/>
      <c r="AO58" s="335"/>
      <c r="AP58" s="335"/>
      <c r="AQ58" s="335"/>
      <c r="AR58" s="335"/>
      <c r="AS58" s="335"/>
      <c r="AT58" s="335"/>
      <c r="AU58" s="335"/>
      <c r="AV58" s="335"/>
      <c r="AW58" s="335"/>
      <c r="AX58" s="335"/>
      <c r="AY58" s="336"/>
      <c r="AZ58" s="199"/>
      <c r="BA58" s="199"/>
      <c r="BB58" s="199"/>
      <c r="BC58" s="199"/>
    </row>
    <row r="59" spans="1:55" ht="15.75" x14ac:dyDescent="0.25">
      <c r="A59" s="1434"/>
      <c r="B59" s="352" t="s">
        <v>425</v>
      </c>
      <c r="C59" s="330"/>
      <c r="D59" s="331">
        <v>25</v>
      </c>
      <c r="E59" s="332"/>
      <c r="F59" s="332"/>
      <c r="G59" s="332">
        <v>5</v>
      </c>
      <c r="H59" s="332"/>
      <c r="I59" s="332"/>
      <c r="J59" s="332"/>
      <c r="K59" s="333"/>
      <c r="L59" s="334"/>
      <c r="M59" s="335"/>
      <c r="N59" s="335"/>
      <c r="O59" s="335"/>
      <c r="P59" s="335"/>
      <c r="Q59" s="335"/>
      <c r="R59" s="335"/>
      <c r="S59" s="335"/>
      <c r="T59" s="335"/>
      <c r="U59" s="336"/>
      <c r="V59" s="334"/>
      <c r="W59" s="335"/>
      <c r="X59" s="335"/>
      <c r="Y59" s="335"/>
      <c r="Z59" s="335"/>
      <c r="AA59" s="335"/>
      <c r="AB59" s="335"/>
      <c r="AC59" s="335"/>
      <c r="AD59" s="335"/>
      <c r="AE59" s="335"/>
      <c r="AF59" s="335"/>
      <c r="AG59" s="335"/>
      <c r="AH59" s="335"/>
      <c r="AI59" s="335"/>
      <c r="AJ59" s="336"/>
      <c r="AK59" s="334"/>
      <c r="AL59" s="335"/>
      <c r="AM59" s="335"/>
      <c r="AN59" s="335"/>
      <c r="AO59" s="335"/>
      <c r="AP59" s="335"/>
      <c r="AQ59" s="335"/>
      <c r="AR59" s="335"/>
      <c r="AS59" s="335"/>
      <c r="AT59" s="335"/>
      <c r="AU59" s="335"/>
      <c r="AV59" s="335"/>
      <c r="AW59" s="335"/>
      <c r="AX59" s="335"/>
      <c r="AY59" s="336"/>
      <c r="AZ59" s="199"/>
      <c r="BA59" s="199"/>
      <c r="BB59" s="199"/>
      <c r="BC59" s="199"/>
    </row>
    <row r="60" spans="1:55" ht="15.75" x14ac:dyDescent="0.25">
      <c r="A60" s="1434"/>
      <c r="B60" s="352" t="s">
        <v>426</v>
      </c>
      <c r="C60" s="330"/>
      <c r="D60" s="331">
        <v>25</v>
      </c>
      <c r="E60" s="332">
        <v>15</v>
      </c>
      <c r="F60" s="332">
        <v>10</v>
      </c>
      <c r="G60" s="332">
        <v>5</v>
      </c>
      <c r="H60" s="332"/>
      <c r="I60" s="332"/>
      <c r="J60" s="332"/>
      <c r="K60" s="333"/>
      <c r="L60" s="334"/>
      <c r="M60" s="335"/>
      <c r="N60" s="335"/>
      <c r="O60" s="335"/>
      <c r="P60" s="335"/>
      <c r="Q60" s="335"/>
      <c r="R60" s="335"/>
      <c r="S60" s="335"/>
      <c r="T60" s="335"/>
      <c r="U60" s="336"/>
      <c r="V60" s="334"/>
      <c r="W60" s="335"/>
      <c r="X60" s="335"/>
      <c r="Y60" s="335"/>
      <c r="Z60" s="335"/>
      <c r="AA60" s="335"/>
      <c r="AB60" s="335"/>
      <c r="AC60" s="335"/>
      <c r="AD60" s="335"/>
      <c r="AE60" s="335"/>
      <c r="AF60" s="335"/>
      <c r="AG60" s="335"/>
      <c r="AH60" s="335"/>
      <c r="AI60" s="335"/>
      <c r="AJ60" s="336"/>
      <c r="AK60" s="334"/>
      <c r="AL60" s="335"/>
      <c r="AM60" s="335"/>
      <c r="AN60" s="335"/>
      <c r="AO60" s="335"/>
      <c r="AP60" s="335"/>
      <c r="AQ60" s="335"/>
      <c r="AR60" s="335"/>
      <c r="AS60" s="335"/>
      <c r="AT60" s="335"/>
      <c r="AU60" s="335"/>
      <c r="AV60" s="335"/>
      <c r="AW60" s="335"/>
      <c r="AX60" s="335"/>
      <c r="AY60" s="336"/>
      <c r="AZ60" s="199"/>
      <c r="BA60" s="199"/>
      <c r="BB60" s="199"/>
      <c r="BC60" s="199"/>
    </row>
    <row r="61" spans="1:55" ht="15.75" x14ac:dyDescent="0.25">
      <c r="A61" s="1434"/>
      <c r="B61" s="352" t="s">
        <v>427</v>
      </c>
      <c r="C61" s="330"/>
      <c r="D61" s="331">
        <v>30</v>
      </c>
      <c r="E61" s="332"/>
      <c r="F61" s="332"/>
      <c r="G61" s="332">
        <v>5</v>
      </c>
      <c r="H61" s="332"/>
      <c r="I61" s="332"/>
      <c r="J61" s="332"/>
      <c r="K61" s="333"/>
      <c r="L61" s="334"/>
      <c r="M61" s="335"/>
      <c r="N61" s="335"/>
      <c r="O61" s="335"/>
      <c r="P61" s="335"/>
      <c r="Q61" s="335"/>
      <c r="R61" s="335"/>
      <c r="S61" s="335"/>
      <c r="T61" s="335"/>
      <c r="U61" s="336"/>
      <c r="V61" s="334"/>
      <c r="W61" s="335"/>
      <c r="X61" s="335"/>
      <c r="Y61" s="335"/>
      <c r="Z61" s="335"/>
      <c r="AA61" s="335"/>
      <c r="AB61" s="335"/>
      <c r="AC61" s="335"/>
      <c r="AD61" s="335"/>
      <c r="AE61" s="335"/>
      <c r="AF61" s="335"/>
      <c r="AG61" s="335"/>
      <c r="AH61" s="335"/>
      <c r="AI61" s="335"/>
      <c r="AJ61" s="336"/>
      <c r="AK61" s="334"/>
      <c r="AL61" s="335"/>
      <c r="AM61" s="335"/>
      <c r="AN61" s="335"/>
      <c r="AO61" s="335"/>
      <c r="AP61" s="335"/>
      <c r="AQ61" s="335"/>
      <c r="AR61" s="335"/>
      <c r="AS61" s="335"/>
      <c r="AT61" s="335"/>
      <c r="AU61" s="335"/>
      <c r="AV61" s="335"/>
      <c r="AW61" s="335"/>
      <c r="AX61" s="335"/>
      <c r="AY61" s="336"/>
      <c r="AZ61" s="199"/>
      <c r="BA61" s="199"/>
      <c r="BB61" s="199"/>
      <c r="BC61" s="199"/>
    </row>
    <row r="62" spans="1:55" ht="15.75" x14ac:dyDescent="0.25">
      <c r="A62" s="1434"/>
      <c r="B62" s="352" t="s">
        <v>376</v>
      </c>
      <c r="C62" s="330"/>
      <c r="D62" s="331">
        <v>25</v>
      </c>
      <c r="E62" s="332"/>
      <c r="F62" s="332"/>
      <c r="G62" s="332">
        <v>5</v>
      </c>
      <c r="H62" s="332"/>
      <c r="I62" s="332"/>
      <c r="J62" s="332"/>
      <c r="K62" s="333"/>
      <c r="L62" s="334"/>
      <c r="M62" s="335"/>
      <c r="N62" s="335"/>
      <c r="O62" s="335"/>
      <c r="P62" s="335"/>
      <c r="Q62" s="335"/>
      <c r="R62" s="335"/>
      <c r="S62" s="335"/>
      <c r="T62" s="335"/>
      <c r="U62" s="336"/>
      <c r="V62" s="334"/>
      <c r="W62" s="335"/>
      <c r="X62" s="335"/>
      <c r="Y62" s="335"/>
      <c r="Z62" s="335"/>
      <c r="AA62" s="335"/>
      <c r="AB62" s="335"/>
      <c r="AC62" s="335"/>
      <c r="AD62" s="335"/>
      <c r="AE62" s="335"/>
      <c r="AF62" s="335"/>
      <c r="AG62" s="335"/>
      <c r="AH62" s="335"/>
      <c r="AI62" s="335"/>
      <c r="AJ62" s="336"/>
      <c r="AK62" s="334"/>
      <c r="AL62" s="335"/>
      <c r="AM62" s="335"/>
      <c r="AN62" s="335"/>
      <c r="AO62" s="335"/>
      <c r="AP62" s="335"/>
      <c r="AQ62" s="335"/>
      <c r="AR62" s="335"/>
      <c r="AS62" s="335"/>
      <c r="AT62" s="335"/>
      <c r="AU62" s="335"/>
      <c r="AV62" s="335"/>
      <c r="AW62" s="335"/>
      <c r="AX62" s="335"/>
      <c r="AY62" s="336"/>
      <c r="AZ62" s="199"/>
      <c r="BA62" s="199"/>
      <c r="BB62" s="199"/>
      <c r="BC62" s="199"/>
    </row>
    <row r="63" spans="1:55" ht="15.75" x14ac:dyDescent="0.25">
      <c r="A63" s="1434"/>
      <c r="B63" s="352" t="s">
        <v>428</v>
      </c>
      <c r="C63" s="330"/>
      <c r="D63" s="331">
        <v>20</v>
      </c>
      <c r="E63" s="332"/>
      <c r="F63" s="332"/>
      <c r="G63" s="332">
        <v>5</v>
      </c>
      <c r="H63" s="332"/>
      <c r="I63" s="332"/>
      <c r="J63" s="332"/>
      <c r="K63" s="333"/>
      <c r="L63" s="334"/>
      <c r="M63" s="335"/>
      <c r="N63" s="335"/>
      <c r="O63" s="335"/>
      <c r="P63" s="335"/>
      <c r="Q63" s="335"/>
      <c r="R63" s="335"/>
      <c r="S63" s="335"/>
      <c r="T63" s="335"/>
      <c r="U63" s="336"/>
      <c r="V63" s="334"/>
      <c r="W63" s="335"/>
      <c r="X63" s="335"/>
      <c r="Y63" s="335"/>
      <c r="Z63" s="335"/>
      <c r="AA63" s="335"/>
      <c r="AB63" s="335"/>
      <c r="AC63" s="335"/>
      <c r="AD63" s="335"/>
      <c r="AE63" s="335"/>
      <c r="AF63" s="335"/>
      <c r="AG63" s="335"/>
      <c r="AH63" s="335"/>
      <c r="AI63" s="335"/>
      <c r="AJ63" s="336"/>
      <c r="AK63" s="334"/>
      <c r="AL63" s="335"/>
      <c r="AM63" s="335"/>
      <c r="AN63" s="335"/>
      <c r="AO63" s="335"/>
      <c r="AP63" s="335"/>
      <c r="AQ63" s="335"/>
      <c r="AR63" s="335"/>
      <c r="AS63" s="335"/>
      <c r="AT63" s="335"/>
      <c r="AU63" s="335"/>
      <c r="AV63" s="335"/>
      <c r="AW63" s="335"/>
      <c r="AX63" s="335"/>
      <c r="AY63" s="336"/>
      <c r="AZ63" s="199"/>
      <c r="BA63" s="199"/>
      <c r="BB63" s="199"/>
      <c r="BC63" s="199"/>
    </row>
    <row r="64" spans="1:55" ht="16.5" thickBot="1" x14ac:dyDescent="0.3">
      <c r="A64" s="1435"/>
      <c r="B64" s="355" t="s">
        <v>429</v>
      </c>
      <c r="C64" s="338"/>
      <c r="D64" s="339">
        <v>25</v>
      </c>
      <c r="E64" s="340"/>
      <c r="F64" s="340"/>
      <c r="G64" s="340">
        <v>5</v>
      </c>
      <c r="H64" s="340"/>
      <c r="I64" s="340"/>
      <c r="J64" s="340"/>
      <c r="K64" s="341"/>
      <c r="L64" s="342"/>
      <c r="M64" s="343"/>
      <c r="N64" s="343"/>
      <c r="O64" s="343"/>
      <c r="P64" s="343"/>
      <c r="Q64" s="343"/>
      <c r="R64" s="343"/>
      <c r="S64" s="343"/>
      <c r="T64" s="343"/>
      <c r="U64" s="344"/>
      <c r="V64" s="342"/>
      <c r="W64" s="343"/>
      <c r="X64" s="343"/>
      <c r="Y64" s="343"/>
      <c r="Z64" s="343"/>
      <c r="AA64" s="343"/>
      <c r="AB64" s="343"/>
      <c r="AC64" s="343"/>
      <c r="AD64" s="343"/>
      <c r="AE64" s="343"/>
      <c r="AF64" s="343"/>
      <c r="AG64" s="343"/>
      <c r="AH64" s="343"/>
      <c r="AI64" s="343"/>
      <c r="AJ64" s="344"/>
      <c r="AK64" s="342"/>
      <c r="AL64" s="343"/>
      <c r="AM64" s="343"/>
      <c r="AN64" s="343"/>
      <c r="AO64" s="343"/>
      <c r="AP64" s="343"/>
      <c r="AQ64" s="343"/>
      <c r="AR64" s="343"/>
      <c r="AS64" s="343"/>
      <c r="AT64" s="343"/>
      <c r="AU64" s="343"/>
      <c r="AV64" s="343"/>
      <c r="AW64" s="343"/>
      <c r="AX64" s="343"/>
      <c r="AY64" s="344"/>
      <c r="AZ64" s="199"/>
      <c r="BA64" s="199"/>
      <c r="BB64" s="199"/>
      <c r="BC64" s="199"/>
    </row>
    <row r="65" spans="1:55" ht="15.75" x14ac:dyDescent="0.25">
      <c r="A65" s="1414" t="s">
        <v>356</v>
      </c>
      <c r="B65" s="348" t="s">
        <v>355</v>
      </c>
      <c r="C65" s="320"/>
      <c r="D65" s="321">
        <v>35</v>
      </c>
      <c r="E65" s="322"/>
      <c r="F65" s="322"/>
      <c r="G65" s="322">
        <v>5</v>
      </c>
      <c r="H65" s="322"/>
      <c r="I65" s="322"/>
      <c r="J65" s="322"/>
      <c r="K65" s="323"/>
      <c r="L65" s="324"/>
      <c r="M65" s="325"/>
      <c r="N65" s="325"/>
      <c r="O65" s="325"/>
      <c r="P65" s="325"/>
      <c r="Q65" s="325"/>
      <c r="R65" s="325"/>
      <c r="S65" s="325"/>
      <c r="T65" s="325"/>
      <c r="U65" s="326"/>
      <c r="V65" s="324"/>
      <c r="W65" s="325"/>
      <c r="X65" s="325"/>
      <c r="Y65" s="325"/>
      <c r="Z65" s="325"/>
      <c r="AA65" s="325"/>
      <c r="AB65" s="325"/>
      <c r="AC65" s="325"/>
      <c r="AD65" s="325"/>
      <c r="AE65" s="325"/>
      <c r="AF65" s="325"/>
      <c r="AG65" s="325"/>
      <c r="AH65" s="325"/>
      <c r="AI65" s="325"/>
      <c r="AJ65" s="326"/>
      <c r="AK65" s="324"/>
      <c r="AL65" s="325"/>
      <c r="AM65" s="325"/>
      <c r="AN65" s="325"/>
      <c r="AO65" s="325"/>
      <c r="AP65" s="325"/>
      <c r="AQ65" s="325"/>
      <c r="AR65" s="325"/>
      <c r="AS65" s="325"/>
      <c r="AT65" s="325"/>
      <c r="AU65" s="325"/>
      <c r="AV65" s="325"/>
      <c r="AW65" s="325"/>
      <c r="AX65" s="325"/>
      <c r="AY65" s="326"/>
      <c r="AZ65" s="199"/>
      <c r="BA65" s="199"/>
      <c r="BB65" s="199"/>
      <c r="BC65" s="199"/>
    </row>
    <row r="66" spans="1:55" ht="15.75" x14ac:dyDescent="0.25">
      <c r="A66" s="1415"/>
      <c r="B66" s="329" t="s">
        <v>357</v>
      </c>
      <c r="C66" s="330"/>
      <c r="D66" s="331">
        <v>30</v>
      </c>
      <c r="E66" s="332"/>
      <c r="F66" s="332"/>
      <c r="G66" s="332">
        <v>5</v>
      </c>
      <c r="H66" s="332"/>
      <c r="I66" s="332"/>
      <c r="J66" s="332"/>
      <c r="K66" s="333"/>
      <c r="L66" s="334"/>
      <c r="M66" s="335"/>
      <c r="N66" s="335"/>
      <c r="O66" s="335"/>
      <c r="P66" s="335"/>
      <c r="Q66" s="335"/>
      <c r="R66" s="335"/>
      <c r="S66" s="335"/>
      <c r="T66" s="335"/>
      <c r="U66" s="336"/>
      <c r="V66" s="334"/>
      <c r="W66" s="335"/>
      <c r="X66" s="335"/>
      <c r="Y66" s="335"/>
      <c r="Z66" s="335"/>
      <c r="AA66" s="335"/>
      <c r="AB66" s="335"/>
      <c r="AC66" s="335"/>
      <c r="AD66" s="335"/>
      <c r="AE66" s="335"/>
      <c r="AF66" s="335"/>
      <c r="AG66" s="335"/>
      <c r="AH66" s="335"/>
      <c r="AI66" s="335"/>
      <c r="AJ66" s="336"/>
      <c r="AK66" s="334"/>
      <c r="AL66" s="335"/>
      <c r="AM66" s="335"/>
      <c r="AN66" s="335"/>
      <c r="AO66" s="335"/>
      <c r="AP66" s="335"/>
      <c r="AQ66" s="335"/>
      <c r="AR66" s="335"/>
      <c r="AS66" s="335"/>
      <c r="AT66" s="335"/>
      <c r="AU66" s="335"/>
      <c r="AV66" s="335"/>
      <c r="AW66" s="335"/>
      <c r="AX66" s="335"/>
      <c r="AY66" s="336"/>
      <c r="AZ66" s="199"/>
      <c r="BA66" s="199"/>
      <c r="BB66" s="199"/>
      <c r="BC66" s="199"/>
    </row>
    <row r="67" spans="1:55" ht="15.75" x14ac:dyDescent="0.25">
      <c r="A67" s="1415"/>
      <c r="B67" s="329" t="s">
        <v>358</v>
      </c>
      <c r="C67" s="330"/>
      <c r="D67" s="331">
        <v>25</v>
      </c>
      <c r="E67" s="332">
        <v>30</v>
      </c>
      <c r="F67" s="332"/>
      <c r="G67" s="332">
        <v>5</v>
      </c>
      <c r="H67" s="332"/>
      <c r="I67" s="332">
        <f>IF(COUNTIF(skill_select, "*Holistic Medicine*")&gt;0, 10, 0)+IF(COUNTIF(skill_select, "*Holistic Chemistry*")&gt;0, 5, 0)</f>
        <v>0</v>
      </c>
      <c r="J67" s="332"/>
      <c r="K67" s="333"/>
      <c r="L67" s="334"/>
      <c r="M67" s="335"/>
      <c r="N67" s="335"/>
      <c r="O67" s="335"/>
      <c r="P67" s="335"/>
      <c r="Q67" s="335"/>
      <c r="R67" s="335"/>
      <c r="S67" s="335"/>
      <c r="T67" s="335"/>
      <c r="U67" s="336"/>
      <c r="V67" s="334"/>
      <c r="W67" s="335"/>
      <c r="X67" s="335"/>
      <c r="Y67" s="335"/>
      <c r="Z67" s="335"/>
      <c r="AA67" s="335"/>
      <c r="AB67" s="335"/>
      <c r="AC67" s="335"/>
      <c r="AD67" s="335"/>
      <c r="AE67" s="335"/>
      <c r="AF67" s="335"/>
      <c r="AG67" s="335"/>
      <c r="AH67" s="335"/>
      <c r="AI67" s="335"/>
      <c r="AJ67" s="336"/>
      <c r="AK67" s="334"/>
      <c r="AL67" s="335"/>
      <c r="AM67" s="335"/>
      <c r="AN67" s="335"/>
      <c r="AO67" s="335"/>
      <c r="AP67" s="335"/>
      <c r="AQ67" s="335"/>
      <c r="AR67" s="335"/>
      <c r="AS67" s="335"/>
      <c r="AT67" s="335"/>
      <c r="AU67" s="335"/>
      <c r="AV67" s="335"/>
      <c r="AW67" s="335"/>
      <c r="AX67" s="335"/>
      <c r="AY67" s="336"/>
      <c r="AZ67" s="199"/>
      <c r="BA67" s="199"/>
      <c r="BB67" s="199"/>
      <c r="BC67" s="199"/>
    </row>
    <row r="68" spans="1:55" ht="15.75" x14ac:dyDescent="0.25">
      <c r="A68" s="1415"/>
      <c r="B68" s="329" t="s">
        <v>359</v>
      </c>
      <c r="C68" s="330"/>
      <c r="D68" s="331">
        <v>30</v>
      </c>
      <c r="E68" s="332"/>
      <c r="F68" s="332"/>
      <c r="G68" s="332">
        <v>5</v>
      </c>
      <c r="H68" s="332"/>
      <c r="I68" s="332"/>
      <c r="J68" s="332"/>
      <c r="K68" s="333"/>
      <c r="L68" s="334"/>
      <c r="M68" s="335"/>
      <c r="N68" s="335"/>
      <c r="O68" s="335"/>
      <c r="P68" s="335"/>
      <c r="Q68" s="335"/>
      <c r="R68" s="335"/>
      <c r="S68" s="335"/>
      <c r="T68" s="335"/>
      <c r="U68" s="336"/>
      <c r="V68" s="334"/>
      <c r="W68" s="335"/>
      <c r="X68" s="335"/>
      <c r="Y68" s="335"/>
      <c r="Z68" s="335"/>
      <c r="AA68" s="335"/>
      <c r="AB68" s="335"/>
      <c r="AC68" s="335"/>
      <c r="AD68" s="335"/>
      <c r="AE68" s="335"/>
      <c r="AF68" s="335"/>
      <c r="AG68" s="335"/>
      <c r="AH68" s="335"/>
      <c r="AI68" s="335"/>
      <c r="AJ68" s="336"/>
      <c r="AK68" s="334"/>
      <c r="AL68" s="335"/>
      <c r="AM68" s="335"/>
      <c r="AN68" s="335"/>
      <c r="AO68" s="335"/>
      <c r="AP68" s="335"/>
      <c r="AQ68" s="335"/>
      <c r="AR68" s="335"/>
      <c r="AS68" s="335"/>
      <c r="AT68" s="335"/>
      <c r="AU68" s="335"/>
      <c r="AV68" s="335"/>
      <c r="AW68" s="335"/>
      <c r="AX68" s="335"/>
      <c r="AY68" s="336"/>
      <c r="AZ68" s="199"/>
      <c r="BA68" s="199"/>
      <c r="BB68" s="199"/>
      <c r="BC68" s="199"/>
    </row>
    <row r="69" spans="1:55" ht="15.75" x14ac:dyDescent="0.25">
      <c r="A69" s="1415"/>
      <c r="B69" s="329" t="str">
        <f>IF(K69&gt;0, "Holistic Chemistry", "(Needs Prerequisite)")</f>
        <v>(Needs Prerequisite)</v>
      </c>
      <c r="C69" s="330" t="s">
        <v>648</v>
      </c>
      <c r="D69" s="331"/>
      <c r="E69" s="332"/>
      <c r="F69" s="332"/>
      <c r="G69" s="332"/>
      <c r="H69" s="332"/>
      <c r="I69" s="332"/>
      <c r="J69" s="332"/>
      <c r="K69" s="333">
        <f>IF(AND(COUNTIF(skill_select, "*Holistic Medicine*"), COUNTIF(skill_select, "*Biology*"))=FALSE, 0, 1)</f>
        <v>0</v>
      </c>
      <c r="L69" s="334"/>
      <c r="M69" s="335"/>
      <c r="N69" s="335"/>
      <c r="O69" s="335"/>
      <c r="P69" s="335"/>
      <c r="Q69" s="335"/>
      <c r="R69" s="335"/>
      <c r="S69" s="335"/>
      <c r="T69" s="335"/>
      <c r="U69" s="336"/>
      <c r="V69" s="334"/>
      <c r="W69" s="335"/>
      <c r="X69" s="335"/>
      <c r="Y69" s="335"/>
      <c r="Z69" s="335"/>
      <c r="AA69" s="335"/>
      <c r="AB69" s="335"/>
      <c r="AC69" s="335"/>
      <c r="AD69" s="335"/>
      <c r="AE69" s="335"/>
      <c r="AF69" s="335"/>
      <c r="AG69" s="335"/>
      <c r="AH69" s="335"/>
      <c r="AI69" s="335"/>
      <c r="AJ69" s="336"/>
      <c r="AK69" s="334"/>
      <c r="AL69" s="335"/>
      <c r="AM69" s="335"/>
      <c r="AN69" s="335"/>
      <c r="AO69" s="335"/>
      <c r="AP69" s="335"/>
      <c r="AQ69" s="335"/>
      <c r="AR69" s="335"/>
      <c r="AS69" s="335"/>
      <c r="AT69" s="335"/>
      <c r="AU69" s="335"/>
      <c r="AV69" s="335"/>
      <c r="AW69" s="335"/>
      <c r="AX69" s="335"/>
      <c r="AY69" s="336"/>
      <c r="AZ69" s="199"/>
      <c r="BA69" s="199"/>
      <c r="BB69" s="199"/>
      <c r="BC69" s="199"/>
    </row>
    <row r="70" spans="1:55" ht="15.75" x14ac:dyDescent="0.25">
      <c r="A70" s="1415"/>
      <c r="B70" s="329" t="s">
        <v>360</v>
      </c>
      <c r="C70" s="330"/>
      <c r="D70" s="331">
        <v>30</v>
      </c>
      <c r="E70" s="332">
        <v>20</v>
      </c>
      <c r="F70" s="332"/>
      <c r="G70" s="332">
        <v>5</v>
      </c>
      <c r="H70" s="332"/>
      <c r="I70" s="332">
        <f>IF(COUNTIF(skill_select, "*Lore: Farm*")&gt;0, 2, 0)</f>
        <v>0</v>
      </c>
      <c r="J70" s="332"/>
      <c r="K70" s="333"/>
      <c r="L70" s="334"/>
      <c r="M70" s="335"/>
      <c r="N70" s="335"/>
      <c r="O70" s="335"/>
      <c r="P70" s="335"/>
      <c r="Q70" s="335"/>
      <c r="R70" s="335"/>
      <c r="S70" s="335"/>
      <c r="T70" s="335"/>
      <c r="U70" s="336"/>
      <c r="V70" s="334"/>
      <c r="W70" s="335"/>
      <c r="X70" s="335"/>
      <c r="Y70" s="335"/>
      <c r="Z70" s="335"/>
      <c r="AA70" s="335"/>
      <c r="AB70" s="335"/>
      <c r="AC70" s="335"/>
      <c r="AD70" s="335"/>
      <c r="AE70" s="335"/>
      <c r="AF70" s="335"/>
      <c r="AG70" s="335"/>
      <c r="AH70" s="335"/>
      <c r="AI70" s="335"/>
      <c r="AJ70" s="336"/>
      <c r="AK70" s="334"/>
      <c r="AL70" s="335"/>
      <c r="AM70" s="335"/>
      <c r="AN70" s="335"/>
      <c r="AO70" s="335"/>
      <c r="AP70" s="335"/>
      <c r="AQ70" s="335"/>
      <c r="AR70" s="335"/>
      <c r="AS70" s="335"/>
      <c r="AT70" s="335"/>
      <c r="AU70" s="335"/>
      <c r="AV70" s="335"/>
      <c r="AW70" s="335"/>
      <c r="AX70" s="335"/>
      <c r="AY70" s="336"/>
      <c r="AZ70" s="199"/>
      <c r="BA70" s="199"/>
      <c r="BB70" s="199"/>
      <c r="BC70" s="199"/>
    </row>
    <row r="71" spans="1:55" ht="16.5" thickBot="1" x14ac:dyDescent="0.3">
      <c r="A71" s="1431"/>
      <c r="B71" s="337" t="str">
        <f>IF(K71&gt;0, "Surgeon/Medical Doctor", "(Needs Prerequisite)")</f>
        <v>(Needs Prerequisite)</v>
      </c>
      <c r="C71" s="338" t="s">
        <v>357</v>
      </c>
      <c r="D71" s="339">
        <v>30</v>
      </c>
      <c r="E71" s="340">
        <v>20</v>
      </c>
      <c r="F71" s="340"/>
      <c r="G71" s="340">
        <v>5</v>
      </c>
      <c r="H71" s="340"/>
      <c r="I71" s="340"/>
      <c r="J71" s="340"/>
      <c r="K71" s="341">
        <f>COUNTIF(skill_select, "*Biology*")</f>
        <v>0</v>
      </c>
      <c r="L71" s="342"/>
      <c r="M71" s="343"/>
      <c r="N71" s="343"/>
      <c r="O71" s="343"/>
      <c r="P71" s="343"/>
      <c r="Q71" s="343"/>
      <c r="R71" s="343"/>
      <c r="S71" s="343"/>
      <c r="T71" s="343"/>
      <c r="U71" s="344"/>
      <c r="V71" s="342"/>
      <c r="W71" s="343"/>
      <c r="X71" s="343"/>
      <c r="Y71" s="343"/>
      <c r="Z71" s="343"/>
      <c r="AA71" s="343"/>
      <c r="AB71" s="343"/>
      <c r="AC71" s="343"/>
      <c r="AD71" s="343"/>
      <c r="AE71" s="343"/>
      <c r="AF71" s="343"/>
      <c r="AG71" s="343"/>
      <c r="AH71" s="343"/>
      <c r="AI71" s="343"/>
      <c r="AJ71" s="344"/>
      <c r="AK71" s="342"/>
      <c r="AL71" s="343"/>
      <c r="AM71" s="343"/>
      <c r="AN71" s="343"/>
      <c r="AO71" s="343"/>
      <c r="AP71" s="343"/>
      <c r="AQ71" s="343"/>
      <c r="AR71" s="343"/>
      <c r="AS71" s="343"/>
      <c r="AT71" s="343"/>
      <c r="AU71" s="343"/>
      <c r="AV71" s="343"/>
      <c r="AW71" s="343"/>
      <c r="AX71" s="343"/>
      <c r="AY71" s="344"/>
      <c r="AZ71" s="199"/>
      <c r="BA71" s="199"/>
      <c r="BB71" s="199"/>
      <c r="BC71" s="199"/>
    </row>
    <row r="72" spans="1:55" ht="15.75" x14ac:dyDescent="0.25">
      <c r="A72" s="1412" t="s">
        <v>362</v>
      </c>
      <c r="B72" s="319" t="s">
        <v>361</v>
      </c>
      <c r="C72" s="320"/>
      <c r="D72" s="321">
        <v>20</v>
      </c>
      <c r="E72" s="322"/>
      <c r="F72" s="322"/>
      <c r="G72" s="322">
        <v>5</v>
      </c>
      <c r="H72" s="322"/>
      <c r="I72" s="322"/>
      <c r="J72" s="322"/>
      <c r="K72" s="323"/>
      <c r="L72" s="324"/>
      <c r="M72" s="325"/>
      <c r="N72" s="325"/>
      <c r="O72" s="325"/>
      <c r="P72" s="325"/>
      <c r="Q72" s="325"/>
      <c r="R72" s="325"/>
      <c r="S72" s="325"/>
      <c r="T72" s="325"/>
      <c r="U72" s="326"/>
      <c r="V72" s="324"/>
      <c r="W72" s="325"/>
      <c r="X72" s="325"/>
      <c r="Y72" s="325"/>
      <c r="Z72" s="325"/>
      <c r="AA72" s="325"/>
      <c r="AB72" s="325"/>
      <c r="AC72" s="325"/>
      <c r="AD72" s="325"/>
      <c r="AE72" s="325"/>
      <c r="AF72" s="325"/>
      <c r="AG72" s="325"/>
      <c r="AH72" s="325"/>
      <c r="AI72" s="325"/>
      <c r="AJ72" s="326"/>
      <c r="AK72" s="324"/>
      <c r="AL72" s="325"/>
      <c r="AM72" s="325"/>
      <c r="AN72" s="325"/>
      <c r="AO72" s="325"/>
      <c r="AP72" s="325"/>
      <c r="AQ72" s="325"/>
      <c r="AR72" s="325"/>
      <c r="AS72" s="325"/>
      <c r="AT72" s="325"/>
      <c r="AU72" s="325"/>
      <c r="AV72" s="325"/>
      <c r="AW72" s="325"/>
      <c r="AX72" s="325"/>
      <c r="AY72" s="326"/>
      <c r="AZ72" s="199"/>
      <c r="BA72" s="199"/>
      <c r="BB72" s="199"/>
      <c r="BC72" s="199"/>
    </row>
    <row r="73" spans="1:55" ht="15.75" x14ac:dyDescent="0.25">
      <c r="A73" s="1401"/>
      <c r="B73" s="329" t="s">
        <v>363</v>
      </c>
      <c r="C73" s="330"/>
      <c r="D73" s="331">
        <v>30</v>
      </c>
      <c r="E73" s="332"/>
      <c r="F73" s="332"/>
      <c r="G73" s="332">
        <v>5</v>
      </c>
      <c r="H73" s="332"/>
      <c r="I73" s="332"/>
      <c r="J73" s="332"/>
      <c r="K73" s="333"/>
      <c r="L73" s="334"/>
      <c r="M73" s="335"/>
      <c r="N73" s="335"/>
      <c r="O73" s="335"/>
      <c r="P73" s="335"/>
      <c r="Q73" s="335"/>
      <c r="R73" s="335"/>
      <c r="S73" s="335"/>
      <c r="T73" s="335"/>
      <c r="U73" s="336"/>
      <c r="V73" s="334"/>
      <c r="W73" s="335"/>
      <c r="X73" s="335"/>
      <c r="Y73" s="335"/>
      <c r="Z73" s="335"/>
      <c r="AA73" s="335"/>
      <c r="AB73" s="335"/>
      <c r="AC73" s="335"/>
      <c r="AD73" s="335"/>
      <c r="AE73" s="335"/>
      <c r="AF73" s="335"/>
      <c r="AG73" s="335"/>
      <c r="AH73" s="335"/>
      <c r="AI73" s="335"/>
      <c r="AJ73" s="336"/>
      <c r="AK73" s="334"/>
      <c r="AL73" s="335"/>
      <c r="AM73" s="335"/>
      <c r="AN73" s="335"/>
      <c r="AO73" s="335"/>
      <c r="AP73" s="335"/>
      <c r="AQ73" s="335"/>
      <c r="AR73" s="335"/>
      <c r="AS73" s="335"/>
      <c r="AT73" s="335"/>
      <c r="AU73" s="335"/>
      <c r="AV73" s="335"/>
      <c r="AW73" s="335"/>
      <c r="AX73" s="335"/>
      <c r="AY73" s="336"/>
      <c r="AZ73" s="199"/>
      <c r="BA73" s="199"/>
      <c r="BB73" s="199"/>
      <c r="BC73" s="199"/>
    </row>
    <row r="74" spans="1:55" ht="15.75" x14ac:dyDescent="0.25">
      <c r="A74" s="1401"/>
      <c r="B74" s="329" t="s">
        <v>364</v>
      </c>
      <c r="C74" s="330"/>
      <c r="D74" s="331">
        <v>30</v>
      </c>
      <c r="E74" s="332"/>
      <c r="F74" s="332"/>
      <c r="G74" s="332">
        <v>5</v>
      </c>
      <c r="H74" s="332"/>
      <c r="I74" s="332"/>
      <c r="J74" s="332"/>
      <c r="K74" s="333"/>
      <c r="L74" s="334"/>
      <c r="M74" s="335"/>
      <c r="N74" s="335"/>
      <c r="O74" s="335"/>
      <c r="P74" s="335"/>
      <c r="Q74" s="335"/>
      <c r="R74" s="335"/>
      <c r="S74" s="335"/>
      <c r="T74" s="335"/>
      <c r="U74" s="336"/>
      <c r="V74" s="334"/>
      <c r="W74" s="335"/>
      <c r="X74" s="335"/>
      <c r="Y74" s="335"/>
      <c r="Z74" s="335"/>
      <c r="AA74" s="335"/>
      <c r="AB74" s="335"/>
      <c r="AC74" s="335"/>
      <c r="AD74" s="335"/>
      <c r="AE74" s="335"/>
      <c r="AF74" s="335"/>
      <c r="AG74" s="335"/>
      <c r="AH74" s="335"/>
      <c r="AI74" s="335"/>
      <c r="AJ74" s="336"/>
      <c r="AK74" s="334"/>
      <c r="AL74" s="335"/>
      <c r="AM74" s="335"/>
      <c r="AN74" s="335"/>
      <c r="AO74" s="335"/>
      <c r="AP74" s="335"/>
      <c r="AQ74" s="335"/>
      <c r="AR74" s="335"/>
      <c r="AS74" s="335"/>
      <c r="AT74" s="335"/>
      <c r="AU74" s="335"/>
      <c r="AV74" s="335"/>
      <c r="AW74" s="335"/>
      <c r="AX74" s="335"/>
      <c r="AY74" s="336"/>
      <c r="AZ74" s="199"/>
      <c r="BA74" s="199"/>
      <c r="BB74" s="199"/>
      <c r="BC74" s="199"/>
    </row>
    <row r="75" spans="1:55" ht="15.75" x14ac:dyDescent="0.25">
      <c r="A75" s="1401"/>
      <c r="B75" s="329" t="s">
        <v>365</v>
      </c>
      <c r="C75" s="330"/>
      <c r="D75" s="331">
        <v>15</v>
      </c>
      <c r="E75" s="332">
        <v>20</v>
      </c>
      <c r="F75" s="332"/>
      <c r="G75" s="332">
        <v>5</v>
      </c>
      <c r="H75" s="332"/>
      <c r="I75" s="332">
        <f>IF(COUNTIF(skill_select, "*Intelligence*")&gt;0, 5, 0)</f>
        <v>0</v>
      </c>
      <c r="J75" s="332"/>
      <c r="K75" s="333"/>
      <c r="L75" s="334"/>
      <c r="M75" s="335"/>
      <c r="N75" s="335"/>
      <c r="O75" s="335"/>
      <c r="P75" s="335"/>
      <c r="Q75" s="335"/>
      <c r="R75" s="335"/>
      <c r="S75" s="335"/>
      <c r="T75" s="335"/>
      <c r="U75" s="336"/>
      <c r="V75" s="334"/>
      <c r="W75" s="335"/>
      <c r="X75" s="335"/>
      <c r="Y75" s="335"/>
      <c r="Z75" s="335"/>
      <c r="AA75" s="335"/>
      <c r="AB75" s="335"/>
      <c r="AC75" s="335"/>
      <c r="AD75" s="335"/>
      <c r="AE75" s="335"/>
      <c r="AF75" s="335"/>
      <c r="AG75" s="335"/>
      <c r="AH75" s="335"/>
      <c r="AI75" s="335"/>
      <c r="AJ75" s="336"/>
      <c r="AK75" s="334"/>
      <c r="AL75" s="335"/>
      <c r="AM75" s="335"/>
      <c r="AN75" s="335"/>
      <c r="AO75" s="335"/>
      <c r="AP75" s="335"/>
      <c r="AQ75" s="335"/>
      <c r="AR75" s="335"/>
      <c r="AS75" s="335"/>
      <c r="AT75" s="335"/>
      <c r="AU75" s="335"/>
      <c r="AV75" s="335"/>
      <c r="AW75" s="335"/>
      <c r="AX75" s="335"/>
      <c r="AY75" s="336"/>
      <c r="AZ75" s="199"/>
      <c r="BA75" s="199"/>
      <c r="BB75" s="199"/>
      <c r="BC75" s="199"/>
    </row>
    <row r="76" spans="1:55" ht="15.75" x14ac:dyDescent="0.25">
      <c r="A76" s="1401"/>
      <c r="B76" s="329" t="s">
        <v>366</v>
      </c>
      <c r="C76" s="330"/>
      <c r="D76" s="331">
        <v>20</v>
      </c>
      <c r="E76" s="332"/>
      <c r="F76" s="332"/>
      <c r="G76" s="332">
        <v>5</v>
      </c>
      <c r="H76" s="332">
        <f>IF(total_ma&gt;30, 10, 0)</f>
        <v>0</v>
      </c>
      <c r="I76" s="332"/>
      <c r="J76" s="332"/>
      <c r="K76" s="333"/>
      <c r="L76" s="334"/>
      <c r="M76" s="335"/>
      <c r="N76" s="335"/>
      <c r="O76" s="335"/>
      <c r="P76" s="335"/>
      <c r="Q76" s="335"/>
      <c r="R76" s="335"/>
      <c r="S76" s="335"/>
      <c r="T76" s="335"/>
      <c r="U76" s="336"/>
      <c r="V76" s="334"/>
      <c r="W76" s="335"/>
      <c r="X76" s="335"/>
      <c r="Y76" s="335"/>
      <c r="Z76" s="335"/>
      <c r="AA76" s="335"/>
      <c r="AB76" s="335"/>
      <c r="AC76" s="335"/>
      <c r="AD76" s="335"/>
      <c r="AE76" s="335"/>
      <c r="AF76" s="335"/>
      <c r="AG76" s="335"/>
      <c r="AH76" s="335"/>
      <c r="AI76" s="335"/>
      <c r="AJ76" s="336"/>
      <c r="AK76" s="334"/>
      <c r="AL76" s="335"/>
      <c r="AM76" s="335"/>
      <c r="AN76" s="335"/>
      <c r="AO76" s="335"/>
      <c r="AP76" s="335"/>
      <c r="AQ76" s="335"/>
      <c r="AR76" s="335"/>
      <c r="AS76" s="335"/>
      <c r="AT76" s="335"/>
      <c r="AU76" s="335"/>
      <c r="AV76" s="335"/>
      <c r="AW76" s="335"/>
      <c r="AX76" s="335"/>
      <c r="AY76" s="336"/>
      <c r="AZ76" s="199"/>
      <c r="BA76" s="199"/>
      <c r="BB76" s="199"/>
      <c r="BC76" s="199"/>
    </row>
    <row r="77" spans="1:55" ht="15.75" x14ac:dyDescent="0.25">
      <c r="A77" s="1401"/>
      <c r="B77" s="329" t="s">
        <v>367</v>
      </c>
      <c r="C77" s="330"/>
      <c r="D77" s="331">
        <v>35</v>
      </c>
      <c r="E77" s="332"/>
      <c r="F77" s="332"/>
      <c r="G77" s="332">
        <v>5</v>
      </c>
      <c r="H77" s="332"/>
      <c r="I77" s="332"/>
      <c r="J77" s="332"/>
      <c r="K77" s="333"/>
      <c r="L77" s="334"/>
      <c r="M77" s="335"/>
      <c r="N77" s="335"/>
      <c r="O77" s="335"/>
      <c r="P77" s="335"/>
      <c r="Q77" s="335"/>
      <c r="R77" s="335"/>
      <c r="S77" s="335"/>
      <c r="T77" s="335"/>
      <c r="U77" s="336"/>
      <c r="V77" s="334"/>
      <c r="W77" s="335"/>
      <c r="X77" s="335"/>
      <c r="Y77" s="335"/>
      <c r="Z77" s="335"/>
      <c r="AA77" s="335"/>
      <c r="AB77" s="335"/>
      <c r="AC77" s="335"/>
      <c r="AD77" s="335"/>
      <c r="AE77" s="335"/>
      <c r="AF77" s="335"/>
      <c r="AG77" s="335"/>
      <c r="AH77" s="335"/>
      <c r="AI77" s="335"/>
      <c r="AJ77" s="336"/>
      <c r="AK77" s="334"/>
      <c r="AL77" s="335"/>
      <c r="AM77" s="335"/>
      <c r="AN77" s="335"/>
      <c r="AO77" s="335"/>
      <c r="AP77" s="335"/>
      <c r="AQ77" s="335"/>
      <c r="AR77" s="335"/>
      <c r="AS77" s="335"/>
      <c r="AT77" s="335"/>
      <c r="AU77" s="335"/>
      <c r="AV77" s="335"/>
      <c r="AW77" s="335"/>
      <c r="AX77" s="335"/>
      <c r="AY77" s="336"/>
      <c r="AZ77" s="199"/>
      <c r="BA77" s="199"/>
      <c r="BB77" s="199"/>
      <c r="BC77" s="199"/>
    </row>
    <row r="78" spans="1:55" ht="15.75" x14ac:dyDescent="0.25">
      <c r="A78" s="1401"/>
      <c r="B78" s="329" t="s">
        <v>368</v>
      </c>
      <c r="C78" s="330"/>
      <c r="D78" s="331">
        <v>25</v>
      </c>
      <c r="E78" s="332"/>
      <c r="F78" s="332"/>
      <c r="G78" s="332">
        <v>5</v>
      </c>
      <c r="H78" s="332"/>
      <c r="I78" s="332"/>
      <c r="J78" s="332"/>
      <c r="K78" s="333"/>
      <c r="L78" s="334"/>
      <c r="M78" s="335"/>
      <c r="N78" s="335"/>
      <c r="O78" s="335"/>
      <c r="P78" s="335"/>
      <c r="Q78" s="335"/>
      <c r="R78" s="335"/>
      <c r="S78" s="335"/>
      <c r="T78" s="335"/>
      <c r="U78" s="336"/>
      <c r="V78" s="334"/>
      <c r="W78" s="335"/>
      <c r="X78" s="335"/>
      <c r="Y78" s="335"/>
      <c r="Z78" s="335"/>
      <c r="AA78" s="335"/>
      <c r="AB78" s="335"/>
      <c r="AC78" s="335"/>
      <c r="AD78" s="335"/>
      <c r="AE78" s="335"/>
      <c r="AF78" s="335"/>
      <c r="AG78" s="335"/>
      <c r="AH78" s="335"/>
      <c r="AI78" s="335"/>
      <c r="AJ78" s="336"/>
      <c r="AK78" s="334"/>
      <c r="AL78" s="335"/>
      <c r="AM78" s="335"/>
      <c r="AN78" s="335"/>
      <c r="AO78" s="335"/>
      <c r="AP78" s="335"/>
      <c r="AQ78" s="335"/>
      <c r="AR78" s="335"/>
      <c r="AS78" s="335"/>
      <c r="AT78" s="335"/>
      <c r="AU78" s="335"/>
      <c r="AV78" s="335"/>
      <c r="AW78" s="335"/>
      <c r="AX78" s="335"/>
      <c r="AY78" s="336"/>
      <c r="AZ78" s="199"/>
      <c r="BA78" s="199"/>
      <c r="BB78" s="199"/>
      <c r="BC78" s="199"/>
    </row>
    <row r="79" spans="1:55" ht="15.75" x14ac:dyDescent="0.25">
      <c r="A79" s="1401"/>
      <c r="B79" s="329" t="s">
        <v>369</v>
      </c>
      <c r="C79" s="330"/>
      <c r="D79" s="331">
        <v>30</v>
      </c>
      <c r="E79" s="332">
        <v>25</v>
      </c>
      <c r="F79" s="332"/>
      <c r="G79" s="332">
        <v>5</v>
      </c>
      <c r="H79" s="332"/>
      <c r="I79" s="332"/>
      <c r="J79" s="332"/>
      <c r="K79" s="333"/>
      <c r="L79" s="334"/>
      <c r="M79" s="335"/>
      <c r="N79" s="335"/>
      <c r="O79" s="335"/>
      <c r="P79" s="335"/>
      <c r="Q79" s="335"/>
      <c r="R79" s="335"/>
      <c r="S79" s="335"/>
      <c r="T79" s="335"/>
      <c r="U79" s="336"/>
      <c r="V79" s="334"/>
      <c r="W79" s="335"/>
      <c r="X79" s="335"/>
      <c r="Y79" s="335"/>
      <c r="Z79" s="335"/>
      <c r="AA79" s="335"/>
      <c r="AB79" s="335"/>
      <c r="AC79" s="335"/>
      <c r="AD79" s="335"/>
      <c r="AE79" s="335"/>
      <c r="AF79" s="335"/>
      <c r="AG79" s="335"/>
      <c r="AH79" s="335"/>
      <c r="AI79" s="335"/>
      <c r="AJ79" s="336"/>
      <c r="AK79" s="334"/>
      <c r="AL79" s="335"/>
      <c r="AM79" s="335"/>
      <c r="AN79" s="335"/>
      <c r="AO79" s="335"/>
      <c r="AP79" s="335"/>
      <c r="AQ79" s="335"/>
      <c r="AR79" s="335"/>
      <c r="AS79" s="335"/>
      <c r="AT79" s="335"/>
      <c r="AU79" s="335"/>
      <c r="AV79" s="335"/>
      <c r="AW79" s="335"/>
      <c r="AX79" s="335"/>
      <c r="AY79" s="336"/>
      <c r="AZ79" s="199"/>
      <c r="BA79" s="199"/>
      <c r="BB79" s="199"/>
      <c r="BC79" s="199"/>
    </row>
    <row r="80" spans="1:55" ht="15.75" x14ac:dyDescent="0.25">
      <c r="A80" s="1401"/>
      <c r="B80" s="329" t="s">
        <v>370</v>
      </c>
      <c r="C80" s="330"/>
      <c r="D80" s="331">
        <v>35</v>
      </c>
      <c r="E80" s="332">
        <v>45</v>
      </c>
      <c r="F80" s="332"/>
      <c r="G80" s="332">
        <v>5</v>
      </c>
      <c r="H80" s="332"/>
      <c r="I80" s="332"/>
      <c r="J80" s="332"/>
      <c r="K80" s="333"/>
      <c r="L80" s="334"/>
      <c r="M80" s="335"/>
      <c r="N80" s="335"/>
      <c r="O80" s="335"/>
      <c r="P80" s="335"/>
      <c r="Q80" s="335"/>
      <c r="R80" s="335"/>
      <c r="S80" s="335"/>
      <c r="T80" s="335"/>
      <c r="U80" s="336"/>
      <c r="V80" s="334"/>
      <c r="W80" s="335"/>
      <c r="X80" s="335"/>
      <c r="Y80" s="335"/>
      <c r="Z80" s="335"/>
      <c r="AA80" s="335"/>
      <c r="AB80" s="335"/>
      <c r="AC80" s="335"/>
      <c r="AD80" s="335"/>
      <c r="AE80" s="335"/>
      <c r="AF80" s="335"/>
      <c r="AG80" s="335"/>
      <c r="AH80" s="335"/>
      <c r="AI80" s="335"/>
      <c r="AJ80" s="336"/>
      <c r="AK80" s="334"/>
      <c r="AL80" s="335"/>
      <c r="AM80" s="335"/>
      <c r="AN80" s="335"/>
      <c r="AO80" s="335"/>
      <c r="AP80" s="335"/>
      <c r="AQ80" s="335"/>
      <c r="AR80" s="335"/>
      <c r="AS80" s="335"/>
      <c r="AT80" s="335"/>
      <c r="AU80" s="335"/>
      <c r="AV80" s="335"/>
      <c r="AW80" s="335"/>
      <c r="AX80" s="335"/>
      <c r="AY80" s="336"/>
      <c r="AZ80" s="199"/>
      <c r="BA80" s="199"/>
      <c r="BB80" s="199"/>
      <c r="BC80" s="199"/>
    </row>
    <row r="81" spans="1:55" ht="16.5" thickBot="1" x14ac:dyDescent="0.3">
      <c r="A81" s="1402"/>
      <c r="B81" s="337" t="s">
        <v>371</v>
      </c>
      <c r="C81" s="338"/>
      <c r="D81" s="339">
        <v>25</v>
      </c>
      <c r="E81" s="340"/>
      <c r="F81" s="340"/>
      <c r="G81" s="340">
        <v>5</v>
      </c>
      <c r="H81" s="340"/>
      <c r="I81" s="340"/>
      <c r="J81" s="340"/>
      <c r="K81" s="341"/>
      <c r="L81" s="342"/>
      <c r="M81" s="343"/>
      <c r="N81" s="343"/>
      <c r="O81" s="343"/>
      <c r="P81" s="343"/>
      <c r="Q81" s="343"/>
      <c r="R81" s="343"/>
      <c r="S81" s="343"/>
      <c r="T81" s="343"/>
      <c r="U81" s="344"/>
      <c r="V81" s="342"/>
      <c r="W81" s="343"/>
      <c r="X81" s="343"/>
      <c r="Y81" s="343"/>
      <c r="Z81" s="343"/>
      <c r="AA81" s="343"/>
      <c r="AB81" s="343"/>
      <c r="AC81" s="343"/>
      <c r="AD81" s="343"/>
      <c r="AE81" s="343"/>
      <c r="AF81" s="343"/>
      <c r="AG81" s="343"/>
      <c r="AH81" s="343"/>
      <c r="AI81" s="343"/>
      <c r="AJ81" s="344"/>
      <c r="AK81" s="342"/>
      <c r="AL81" s="343"/>
      <c r="AM81" s="343"/>
      <c r="AN81" s="343"/>
      <c r="AO81" s="343"/>
      <c r="AP81" s="343"/>
      <c r="AQ81" s="343"/>
      <c r="AR81" s="343"/>
      <c r="AS81" s="343"/>
      <c r="AT81" s="343"/>
      <c r="AU81" s="343"/>
      <c r="AV81" s="343"/>
      <c r="AW81" s="343"/>
      <c r="AX81" s="343"/>
      <c r="AY81" s="344"/>
      <c r="AZ81" s="199"/>
      <c r="BA81" s="199"/>
      <c r="BB81" s="199"/>
      <c r="BC81" s="199"/>
    </row>
    <row r="82" spans="1:55" ht="15.75" x14ac:dyDescent="0.25">
      <c r="A82" s="1406" t="s">
        <v>373</v>
      </c>
      <c r="B82" s="319" t="s">
        <v>372</v>
      </c>
      <c r="C82" s="320"/>
      <c r="D82" s="321">
        <v>27</v>
      </c>
      <c r="E82" s="322"/>
      <c r="F82" s="322"/>
      <c r="G82" s="322">
        <v>3</v>
      </c>
      <c r="H82" s="322"/>
      <c r="I82" s="322"/>
      <c r="J82" s="322"/>
      <c r="K82" s="323"/>
      <c r="L82" s="324"/>
      <c r="M82" s="325"/>
      <c r="N82" s="325"/>
      <c r="O82" s="325"/>
      <c r="P82" s="325"/>
      <c r="Q82" s="325"/>
      <c r="R82" s="325"/>
      <c r="S82" s="325"/>
      <c r="T82" s="325"/>
      <c r="U82" s="326"/>
      <c r="V82" s="324"/>
      <c r="W82" s="325"/>
      <c r="X82" s="325"/>
      <c r="Y82" s="325"/>
      <c r="Z82" s="325"/>
      <c r="AA82" s="325"/>
      <c r="AB82" s="325"/>
      <c r="AC82" s="325"/>
      <c r="AD82" s="325"/>
      <c r="AE82" s="325"/>
      <c r="AF82" s="325"/>
      <c r="AG82" s="325"/>
      <c r="AH82" s="325"/>
      <c r="AI82" s="325"/>
      <c r="AJ82" s="326"/>
      <c r="AK82" s="324"/>
      <c r="AL82" s="325"/>
      <c r="AM82" s="325"/>
      <c r="AN82" s="325"/>
      <c r="AO82" s="325"/>
      <c r="AP82" s="325"/>
      <c r="AQ82" s="325"/>
      <c r="AR82" s="325"/>
      <c r="AS82" s="325"/>
      <c r="AT82" s="325"/>
      <c r="AU82" s="325"/>
      <c r="AV82" s="325"/>
      <c r="AW82" s="325"/>
      <c r="AX82" s="325"/>
      <c r="AY82" s="326"/>
      <c r="AZ82" s="199"/>
      <c r="BA82" s="199"/>
      <c r="BB82" s="199"/>
      <c r="BC82" s="199"/>
    </row>
    <row r="83" spans="1:55" ht="15.75" x14ac:dyDescent="0.25">
      <c r="A83" s="1407"/>
      <c r="B83" s="329" t="s">
        <v>374</v>
      </c>
      <c r="C83" s="330"/>
      <c r="D83" s="331">
        <v>32</v>
      </c>
      <c r="E83" s="332"/>
      <c r="F83" s="332"/>
      <c r="G83" s="332">
        <v>4</v>
      </c>
      <c r="H83" s="332"/>
      <c r="I83" s="332"/>
      <c r="J83" s="332"/>
      <c r="K83" s="333"/>
      <c r="L83" s="334"/>
      <c r="M83" s="335"/>
      <c r="N83" s="335"/>
      <c r="O83" s="335"/>
      <c r="P83" s="335"/>
      <c r="Q83" s="335"/>
      <c r="R83" s="335"/>
      <c r="S83" s="335"/>
      <c r="T83" s="335"/>
      <c r="U83" s="336"/>
      <c r="V83" s="334"/>
      <c r="W83" s="335"/>
      <c r="X83" s="335"/>
      <c r="Y83" s="335"/>
      <c r="Z83" s="335"/>
      <c r="AA83" s="335"/>
      <c r="AB83" s="335"/>
      <c r="AC83" s="335"/>
      <c r="AD83" s="335"/>
      <c r="AE83" s="335"/>
      <c r="AF83" s="335"/>
      <c r="AG83" s="335"/>
      <c r="AH83" s="335"/>
      <c r="AI83" s="335"/>
      <c r="AJ83" s="336"/>
      <c r="AK83" s="334"/>
      <c r="AL83" s="335"/>
      <c r="AM83" s="335"/>
      <c r="AN83" s="335"/>
      <c r="AO83" s="335"/>
      <c r="AP83" s="335"/>
      <c r="AQ83" s="335"/>
      <c r="AR83" s="335"/>
      <c r="AS83" s="335"/>
      <c r="AT83" s="335"/>
      <c r="AU83" s="335"/>
      <c r="AV83" s="335"/>
      <c r="AW83" s="335"/>
      <c r="AX83" s="335"/>
      <c r="AY83" s="336"/>
      <c r="AZ83" s="199"/>
      <c r="BA83" s="199"/>
      <c r="BB83" s="199"/>
      <c r="BC83" s="199"/>
    </row>
    <row r="84" spans="1:55" ht="15.75" x14ac:dyDescent="0.25">
      <c r="A84" s="1407"/>
      <c r="B84" s="329" t="s">
        <v>325</v>
      </c>
      <c r="C84" s="330"/>
      <c r="D84" s="331">
        <v>18</v>
      </c>
      <c r="E84" s="332"/>
      <c r="F84" s="332"/>
      <c r="G84" s="332">
        <v>6</v>
      </c>
      <c r="H84" s="332"/>
      <c r="I84" s="332"/>
      <c r="J84" s="332"/>
      <c r="K84" s="333"/>
      <c r="L84" s="334"/>
      <c r="M84" s="335"/>
      <c r="N84" s="335"/>
      <c r="O84" s="335"/>
      <c r="P84" s="335"/>
      <c r="Q84" s="335"/>
      <c r="R84" s="335"/>
      <c r="S84" s="335"/>
      <c r="T84" s="335"/>
      <c r="U84" s="336"/>
      <c r="V84" s="334"/>
      <c r="W84" s="335"/>
      <c r="X84" s="335"/>
      <c r="Y84" s="335"/>
      <c r="Z84" s="335"/>
      <c r="AA84" s="335"/>
      <c r="AB84" s="335"/>
      <c r="AC84" s="335"/>
      <c r="AD84" s="335"/>
      <c r="AE84" s="335"/>
      <c r="AF84" s="335"/>
      <c r="AG84" s="335"/>
      <c r="AH84" s="335"/>
      <c r="AI84" s="335"/>
      <c r="AJ84" s="336"/>
      <c r="AK84" s="334"/>
      <c r="AL84" s="335"/>
      <c r="AM84" s="335"/>
      <c r="AN84" s="335"/>
      <c r="AO84" s="335"/>
      <c r="AP84" s="335"/>
      <c r="AQ84" s="335"/>
      <c r="AR84" s="335"/>
      <c r="AS84" s="335"/>
      <c r="AT84" s="335"/>
      <c r="AU84" s="335"/>
      <c r="AV84" s="335"/>
      <c r="AW84" s="335"/>
      <c r="AX84" s="335"/>
      <c r="AY84" s="336"/>
      <c r="AZ84" s="199"/>
      <c r="BA84" s="199"/>
      <c r="BB84" s="199"/>
      <c r="BC84" s="199"/>
    </row>
    <row r="85" spans="1:55" ht="15.75" x14ac:dyDescent="0.25">
      <c r="A85" s="1407"/>
      <c r="B85" s="329" t="s">
        <v>375</v>
      </c>
      <c r="C85" s="330"/>
      <c r="D85" s="331">
        <v>24</v>
      </c>
      <c r="E85" s="332"/>
      <c r="F85" s="332"/>
      <c r="G85" s="332">
        <v>4</v>
      </c>
      <c r="H85" s="332"/>
      <c r="I85" s="332"/>
      <c r="J85" s="332"/>
      <c r="K85" s="333"/>
      <c r="L85" s="334"/>
      <c r="M85" s="335"/>
      <c r="N85" s="335"/>
      <c r="O85" s="335"/>
      <c r="P85" s="335"/>
      <c r="Q85" s="335"/>
      <c r="R85" s="335"/>
      <c r="S85" s="335"/>
      <c r="T85" s="335"/>
      <c r="U85" s="336"/>
      <c r="V85" s="334"/>
      <c r="W85" s="335"/>
      <c r="X85" s="335"/>
      <c r="Y85" s="335"/>
      <c r="Z85" s="335"/>
      <c r="AA85" s="335"/>
      <c r="AB85" s="335"/>
      <c r="AC85" s="335"/>
      <c r="AD85" s="335"/>
      <c r="AE85" s="335"/>
      <c r="AF85" s="335"/>
      <c r="AG85" s="335"/>
      <c r="AH85" s="335"/>
      <c r="AI85" s="335"/>
      <c r="AJ85" s="336"/>
      <c r="AK85" s="334"/>
      <c r="AL85" s="335"/>
      <c r="AM85" s="335"/>
      <c r="AN85" s="335"/>
      <c r="AO85" s="335"/>
      <c r="AP85" s="335"/>
      <c r="AQ85" s="335"/>
      <c r="AR85" s="335"/>
      <c r="AS85" s="335"/>
      <c r="AT85" s="335"/>
      <c r="AU85" s="335"/>
      <c r="AV85" s="335"/>
      <c r="AW85" s="335"/>
      <c r="AX85" s="335"/>
      <c r="AY85" s="336"/>
      <c r="AZ85" s="199"/>
      <c r="BA85" s="199"/>
      <c r="BB85" s="199"/>
      <c r="BC85" s="199"/>
    </row>
    <row r="86" spans="1:55" ht="15.75" x14ac:dyDescent="0.25">
      <c r="A86" s="1407"/>
      <c r="B86" s="329" t="s">
        <v>376</v>
      </c>
      <c r="C86" s="330"/>
      <c r="D86" s="331">
        <v>25</v>
      </c>
      <c r="E86" s="332"/>
      <c r="F86" s="332"/>
      <c r="G86" s="332">
        <v>5</v>
      </c>
      <c r="H86" s="332"/>
      <c r="I86" s="332"/>
      <c r="J86" s="332"/>
      <c r="K86" s="333"/>
      <c r="L86" s="334"/>
      <c r="M86" s="335"/>
      <c r="N86" s="335"/>
      <c r="O86" s="335"/>
      <c r="P86" s="335"/>
      <c r="Q86" s="335"/>
      <c r="R86" s="335"/>
      <c r="S86" s="335"/>
      <c r="T86" s="335"/>
      <c r="U86" s="336"/>
      <c r="V86" s="334"/>
      <c r="W86" s="335"/>
      <c r="X86" s="335"/>
      <c r="Y86" s="335"/>
      <c r="Z86" s="335"/>
      <c r="AA86" s="335"/>
      <c r="AB86" s="335"/>
      <c r="AC86" s="335"/>
      <c r="AD86" s="335"/>
      <c r="AE86" s="335"/>
      <c r="AF86" s="335"/>
      <c r="AG86" s="335"/>
      <c r="AH86" s="335"/>
      <c r="AI86" s="335"/>
      <c r="AJ86" s="336"/>
      <c r="AK86" s="334"/>
      <c r="AL86" s="335"/>
      <c r="AM86" s="335"/>
      <c r="AN86" s="335"/>
      <c r="AO86" s="335"/>
      <c r="AP86" s="335"/>
      <c r="AQ86" s="335"/>
      <c r="AR86" s="335"/>
      <c r="AS86" s="335"/>
      <c r="AT86" s="335"/>
      <c r="AU86" s="335"/>
      <c r="AV86" s="335"/>
      <c r="AW86" s="335"/>
      <c r="AX86" s="335"/>
      <c r="AY86" s="336"/>
      <c r="AZ86" s="199"/>
      <c r="BA86" s="199"/>
      <c r="BB86" s="199"/>
      <c r="BC86" s="199"/>
    </row>
    <row r="87" spans="1:55" ht="15.75" x14ac:dyDescent="0.25">
      <c r="A87" s="1407"/>
      <c r="B87" s="329" t="s">
        <v>377</v>
      </c>
      <c r="C87" s="330"/>
      <c r="D87" s="331">
        <v>30</v>
      </c>
      <c r="E87" s="332"/>
      <c r="F87" s="332"/>
      <c r="G87" s="332">
        <v>5</v>
      </c>
      <c r="H87" s="332"/>
      <c r="I87" s="332"/>
      <c r="J87" s="332"/>
      <c r="K87" s="333"/>
      <c r="L87" s="334"/>
      <c r="M87" s="335"/>
      <c r="N87" s="335"/>
      <c r="O87" s="335"/>
      <c r="P87" s="335"/>
      <c r="Q87" s="335"/>
      <c r="R87" s="335"/>
      <c r="S87" s="335"/>
      <c r="T87" s="335"/>
      <c r="U87" s="336"/>
      <c r="V87" s="334"/>
      <c r="W87" s="335"/>
      <c r="X87" s="335"/>
      <c r="Y87" s="335"/>
      <c r="Z87" s="335"/>
      <c r="AA87" s="335"/>
      <c r="AB87" s="335"/>
      <c r="AC87" s="335"/>
      <c r="AD87" s="335"/>
      <c r="AE87" s="335"/>
      <c r="AF87" s="335"/>
      <c r="AG87" s="335"/>
      <c r="AH87" s="335"/>
      <c r="AI87" s="335"/>
      <c r="AJ87" s="336"/>
      <c r="AK87" s="334"/>
      <c r="AL87" s="335"/>
      <c r="AM87" s="335"/>
      <c r="AN87" s="335"/>
      <c r="AO87" s="335"/>
      <c r="AP87" s="335"/>
      <c r="AQ87" s="335"/>
      <c r="AR87" s="335"/>
      <c r="AS87" s="335"/>
      <c r="AT87" s="335"/>
      <c r="AU87" s="335"/>
      <c r="AV87" s="335"/>
      <c r="AW87" s="335"/>
      <c r="AX87" s="335"/>
      <c r="AY87" s="336"/>
      <c r="AZ87" s="199"/>
      <c r="BA87" s="199"/>
      <c r="BB87" s="199"/>
      <c r="BC87" s="199"/>
    </row>
    <row r="88" spans="1:55" ht="15.75" x14ac:dyDescent="0.25">
      <c r="A88" s="1407"/>
      <c r="B88" s="329" t="str">
        <f>IF(K88&gt;0, "Seamanship", "(Needs Prerequisite)")</f>
        <v>(Needs Prerequisite)</v>
      </c>
      <c r="C88" s="330" t="s">
        <v>468</v>
      </c>
      <c r="D88" s="331">
        <v>22</v>
      </c>
      <c r="E88" s="332"/>
      <c r="F88" s="332"/>
      <c r="G88" s="332">
        <v>4</v>
      </c>
      <c r="H88" s="332"/>
      <c r="I88" s="332"/>
      <c r="J88" s="332"/>
      <c r="K88" s="333">
        <f>COUNTIF(skill_select, "*Sew*")</f>
        <v>0</v>
      </c>
      <c r="L88" s="334"/>
      <c r="M88" s="335"/>
      <c r="N88" s="335"/>
      <c r="O88" s="335"/>
      <c r="P88" s="335"/>
      <c r="Q88" s="335"/>
      <c r="R88" s="335"/>
      <c r="S88" s="335"/>
      <c r="T88" s="335"/>
      <c r="U88" s="336"/>
      <c r="V88" s="334"/>
      <c r="W88" s="335"/>
      <c r="X88" s="335"/>
      <c r="Y88" s="335"/>
      <c r="Z88" s="335"/>
      <c r="AA88" s="335"/>
      <c r="AB88" s="335"/>
      <c r="AC88" s="335"/>
      <c r="AD88" s="335"/>
      <c r="AE88" s="335"/>
      <c r="AF88" s="335"/>
      <c r="AG88" s="335"/>
      <c r="AH88" s="335"/>
      <c r="AI88" s="335"/>
      <c r="AJ88" s="336"/>
      <c r="AK88" s="334"/>
      <c r="AL88" s="335"/>
      <c r="AM88" s="335"/>
      <c r="AN88" s="335"/>
      <c r="AO88" s="335"/>
      <c r="AP88" s="335"/>
      <c r="AQ88" s="335"/>
      <c r="AR88" s="335"/>
      <c r="AS88" s="335"/>
      <c r="AT88" s="335"/>
      <c r="AU88" s="335"/>
      <c r="AV88" s="335"/>
      <c r="AW88" s="335"/>
      <c r="AX88" s="335"/>
      <c r="AY88" s="336"/>
      <c r="AZ88" s="199"/>
      <c r="BA88" s="199"/>
      <c r="BB88" s="199"/>
      <c r="BC88" s="199"/>
    </row>
    <row r="89" spans="1:55" ht="16.5" thickBot="1" x14ac:dyDescent="0.3">
      <c r="A89" s="1413"/>
      <c r="B89" s="337" t="str">
        <f>IF(K89&gt;0, "Shipwright", "(Needs Prerequisite)")</f>
        <v>(Needs Prerequisite)</v>
      </c>
      <c r="C89" s="338" t="s">
        <v>468</v>
      </c>
      <c r="D89" s="339">
        <v>26</v>
      </c>
      <c r="E89" s="340"/>
      <c r="F89" s="340"/>
      <c r="G89" s="340">
        <v>4</v>
      </c>
      <c r="H89" s="340"/>
      <c r="I89" s="340"/>
      <c r="J89" s="340"/>
      <c r="K89" s="341">
        <f>COUNTIF(skill_select, "*Carpentry*")</f>
        <v>0</v>
      </c>
      <c r="L89" s="342"/>
      <c r="M89" s="343"/>
      <c r="N89" s="343"/>
      <c r="O89" s="343"/>
      <c r="P89" s="343"/>
      <c r="Q89" s="343"/>
      <c r="R89" s="343"/>
      <c r="S89" s="343"/>
      <c r="T89" s="343"/>
      <c r="U89" s="344"/>
      <c r="V89" s="342"/>
      <c r="W89" s="343"/>
      <c r="X89" s="343"/>
      <c r="Y89" s="343"/>
      <c r="Z89" s="343"/>
      <c r="AA89" s="343"/>
      <c r="AB89" s="343"/>
      <c r="AC89" s="343"/>
      <c r="AD89" s="343"/>
      <c r="AE89" s="343"/>
      <c r="AF89" s="343"/>
      <c r="AG89" s="343"/>
      <c r="AH89" s="343"/>
      <c r="AI89" s="343"/>
      <c r="AJ89" s="344"/>
      <c r="AK89" s="342"/>
      <c r="AL89" s="343"/>
      <c r="AM89" s="343"/>
      <c r="AN89" s="343"/>
      <c r="AO89" s="343"/>
      <c r="AP89" s="343"/>
      <c r="AQ89" s="343"/>
      <c r="AR89" s="343"/>
      <c r="AS89" s="343"/>
      <c r="AT89" s="343"/>
      <c r="AU89" s="343"/>
      <c r="AV89" s="343"/>
      <c r="AW89" s="343"/>
      <c r="AX89" s="343"/>
      <c r="AY89" s="344"/>
      <c r="AZ89" s="199"/>
      <c r="BA89" s="199"/>
      <c r="BB89" s="199"/>
      <c r="BC89" s="199"/>
    </row>
    <row r="90" spans="1:55" ht="15.75" x14ac:dyDescent="0.25">
      <c r="A90" s="1423" t="s">
        <v>380</v>
      </c>
      <c r="B90" s="319" t="s">
        <v>379</v>
      </c>
      <c r="C90" s="320"/>
      <c r="D90" s="356"/>
      <c r="E90" s="322"/>
      <c r="F90" s="322"/>
      <c r="G90" s="322"/>
      <c r="H90" s="322"/>
      <c r="I90" s="322"/>
      <c r="J90" s="322"/>
      <c r="K90" s="323"/>
      <c r="L90" s="324">
        <v>1</v>
      </c>
      <c r="M90" s="325">
        <v>1</v>
      </c>
      <c r="N90" s="325">
        <v>1</v>
      </c>
      <c r="O90" s="325"/>
      <c r="P90" s="325">
        <v>3.5</v>
      </c>
      <c r="Q90" s="325"/>
      <c r="R90" s="325"/>
      <c r="S90" s="325"/>
      <c r="T90" s="325"/>
      <c r="U90" s="326">
        <v>1</v>
      </c>
      <c r="V90" s="324"/>
      <c r="W90" s="325"/>
      <c r="X90" s="325"/>
      <c r="Y90" s="325"/>
      <c r="Z90" s="325"/>
      <c r="AA90" s="325"/>
      <c r="AB90" s="325"/>
      <c r="AC90" s="325"/>
      <c r="AD90" s="325"/>
      <c r="AE90" s="325"/>
      <c r="AF90" s="325"/>
      <c r="AG90" s="325"/>
      <c r="AH90" s="325"/>
      <c r="AI90" s="325"/>
      <c r="AJ90" s="326"/>
      <c r="AK90" s="324"/>
      <c r="AL90" s="325"/>
      <c r="AM90" s="325"/>
      <c r="AN90" s="325"/>
      <c r="AO90" s="325"/>
      <c r="AP90" s="325"/>
      <c r="AQ90" s="325"/>
      <c r="AR90" s="325"/>
      <c r="AS90" s="325"/>
      <c r="AT90" s="325"/>
      <c r="AU90" s="325"/>
      <c r="AV90" s="325"/>
      <c r="AW90" s="325"/>
      <c r="AX90" s="325"/>
      <c r="AY90" s="326"/>
      <c r="AZ90" s="199"/>
      <c r="BA90" s="199"/>
      <c r="BB90" s="199"/>
      <c r="BC90" s="199"/>
    </row>
    <row r="91" spans="1:55" ht="15.75" x14ac:dyDescent="0.25">
      <c r="A91" s="1423"/>
      <c r="B91" s="329" t="s">
        <v>381</v>
      </c>
      <c r="C91" s="330"/>
      <c r="D91" s="331"/>
      <c r="E91" s="332"/>
      <c r="F91" s="332"/>
      <c r="G91" s="332"/>
      <c r="H91" s="332"/>
      <c r="I91" s="332"/>
      <c r="J91" s="332"/>
      <c r="K91" s="333"/>
      <c r="L91" s="334">
        <v>1</v>
      </c>
      <c r="M91" s="335"/>
      <c r="N91" s="335"/>
      <c r="O91" s="335">
        <v>3.5</v>
      </c>
      <c r="P91" s="335">
        <v>7</v>
      </c>
      <c r="Q91" s="335"/>
      <c r="R91" s="335"/>
      <c r="S91" s="335"/>
      <c r="T91" s="335"/>
      <c r="U91" s="336">
        <v>1</v>
      </c>
      <c r="V91" s="334"/>
      <c r="W91" s="335"/>
      <c r="X91" s="335"/>
      <c r="Y91" s="335"/>
      <c r="Z91" s="335"/>
      <c r="AA91" s="335"/>
      <c r="AB91" s="335"/>
      <c r="AC91" s="335"/>
      <c r="AD91" s="335"/>
      <c r="AE91" s="335"/>
      <c r="AF91" s="335"/>
      <c r="AG91" s="335"/>
      <c r="AH91" s="335"/>
      <c r="AI91" s="335"/>
      <c r="AJ91" s="336"/>
      <c r="AK91" s="334"/>
      <c r="AL91" s="335"/>
      <c r="AM91" s="335"/>
      <c r="AN91" s="335"/>
      <c r="AO91" s="335"/>
      <c r="AP91" s="335"/>
      <c r="AQ91" s="335"/>
      <c r="AR91" s="335"/>
      <c r="AS91" s="335"/>
      <c r="AT91" s="335"/>
      <c r="AU91" s="335"/>
      <c r="AV91" s="335"/>
      <c r="AW91" s="335"/>
      <c r="AX91" s="335"/>
      <c r="AY91" s="336"/>
      <c r="AZ91" s="199"/>
      <c r="BA91" s="199"/>
      <c r="BB91" s="199"/>
      <c r="BC91" s="199"/>
    </row>
    <row r="92" spans="1:55" ht="15.75" x14ac:dyDescent="0.25">
      <c r="A92" s="1423"/>
      <c r="B92" s="329" t="s">
        <v>382</v>
      </c>
      <c r="C92" s="330"/>
      <c r="D92" s="331"/>
      <c r="E92" s="332"/>
      <c r="F92" s="332"/>
      <c r="G92" s="332"/>
      <c r="H92" s="332"/>
      <c r="I92" s="332"/>
      <c r="J92" s="332"/>
      <c r="K92" s="333"/>
      <c r="L92" s="334">
        <v>2</v>
      </c>
      <c r="M92" s="335"/>
      <c r="N92" s="335"/>
      <c r="O92" s="335"/>
      <c r="P92" s="335">
        <v>10</v>
      </c>
      <c r="Q92" s="335"/>
      <c r="R92" s="335"/>
      <c r="S92" s="335"/>
      <c r="T92" s="335"/>
      <c r="U92" s="336"/>
      <c r="V92" s="334"/>
      <c r="W92" s="335"/>
      <c r="X92" s="335"/>
      <c r="Y92" s="335"/>
      <c r="Z92" s="335"/>
      <c r="AA92" s="335"/>
      <c r="AB92" s="335"/>
      <c r="AC92" s="335"/>
      <c r="AD92" s="335"/>
      <c r="AE92" s="335"/>
      <c r="AF92" s="335"/>
      <c r="AG92" s="335"/>
      <c r="AH92" s="335"/>
      <c r="AI92" s="335"/>
      <c r="AJ92" s="336"/>
      <c r="AK92" s="334"/>
      <c r="AL92" s="335"/>
      <c r="AM92" s="335"/>
      <c r="AN92" s="335"/>
      <c r="AO92" s="335"/>
      <c r="AP92" s="335"/>
      <c r="AQ92" s="335"/>
      <c r="AR92" s="335"/>
      <c r="AS92" s="335"/>
      <c r="AT92" s="335"/>
      <c r="AU92" s="335"/>
      <c r="AV92" s="335"/>
      <c r="AW92" s="335"/>
      <c r="AX92" s="335"/>
      <c r="AY92" s="336"/>
      <c r="AZ92" s="199"/>
      <c r="BA92" s="199"/>
      <c r="BB92" s="199"/>
      <c r="BC92" s="199"/>
    </row>
    <row r="93" spans="1:55" ht="15.75" x14ac:dyDescent="0.25">
      <c r="A93" s="1423"/>
      <c r="B93" s="329" t="s">
        <v>383</v>
      </c>
      <c r="C93" s="330"/>
      <c r="D93" s="331"/>
      <c r="E93" s="332"/>
      <c r="F93" s="332"/>
      <c r="G93" s="332"/>
      <c r="H93" s="332"/>
      <c r="I93" s="332"/>
      <c r="J93" s="332"/>
      <c r="K93" s="333"/>
      <c r="L93" s="334">
        <v>2</v>
      </c>
      <c r="M93" s="335"/>
      <c r="N93" s="335"/>
      <c r="O93" s="335"/>
      <c r="P93" s="335">
        <v>10.5</v>
      </c>
      <c r="Q93" s="335">
        <v>1</v>
      </c>
      <c r="R93" s="335"/>
      <c r="S93" s="335">
        <v>2</v>
      </c>
      <c r="T93" s="335">
        <v>2</v>
      </c>
      <c r="U93" s="336">
        <v>1</v>
      </c>
      <c r="V93" s="334"/>
      <c r="W93" s="335"/>
      <c r="X93" s="335"/>
      <c r="Y93" s="335"/>
      <c r="Z93" s="335"/>
      <c r="AA93" s="335"/>
      <c r="AB93" s="335"/>
      <c r="AC93" s="335"/>
      <c r="AD93" s="335"/>
      <c r="AE93" s="335"/>
      <c r="AF93" s="335"/>
      <c r="AG93" s="335"/>
      <c r="AH93" s="335"/>
      <c r="AI93" s="335"/>
      <c r="AJ93" s="336"/>
      <c r="AK93" s="334"/>
      <c r="AL93" s="335"/>
      <c r="AM93" s="335"/>
      <c r="AN93" s="335"/>
      <c r="AO93" s="335"/>
      <c r="AP93" s="335"/>
      <c r="AQ93" s="335"/>
      <c r="AR93" s="335"/>
      <c r="AS93" s="335"/>
      <c r="AT93" s="335"/>
      <c r="AU93" s="335"/>
      <c r="AV93" s="335"/>
      <c r="AW93" s="335"/>
      <c r="AX93" s="335"/>
      <c r="AY93" s="336"/>
      <c r="AZ93" s="199"/>
      <c r="BA93" s="199"/>
      <c r="BB93" s="199"/>
      <c r="BC93" s="199"/>
    </row>
    <row r="94" spans="1:55" ht="15.75" x14ac:dyDescent="0.25">
      <c r="A94" s="1423"/>
      <c r="B94" s="329" t="s">
        <v>384</v>
      </c>
      <c r="C94" s="330"/>
      <c r="D94" s="331">
        <v>40</v>
      </c>
      <c r="E94" s="332">
        <v>35</v>
      </c>
      <c r="F94" s="332"/>
      <c r="G94" s="332">
        <v>5</v>
      </c>
      <c r="H94" s="332"/>
      <c r="I94" s="332"/>
      <c r="J94" s="332"/>
      <c r="K94" s="333"/>
      <c r="L94" s="334"/>
      <c r="M94" s="335"/>
      <c r="N94" s="335"/>
      <c r="O94" s="335"/>
      <c r="P94" s="335"/>
      <c r="Q94" s="335"/>
      <c r="R94" s="335"/>
      <c r="S94" s="335"/>
      <c r="T94" s="335"/>
      <c r="U94" s="336"/>
      <c r="V94" s="334"/>
      <c r="W94" s="335"/>
      <c r="X94" s="335"/>
      <c r="Y94" s="335"/>
      <c r="Z94" s="335"/>
      <c r="AA94" s="335"/>
      <c r="AB94" s="335"/>
      <c r="AC94" s="335"/>
      <c r="AD94" s="335"/>
      <c r="AE94" s="335"/>
      <c r="AF94" s="335"/>
      <c r="AG94" s="335"/>
      <c r="AH94" s="335"/>
      <c r="AI94" s="335"/>
      <c r="AJ94" s="336"/>
      <c r="AK94" s="334"/>
      <c r="AL94" s="335"/>
      <c r="AM94" s="335"/>
      <c r="AN94" s="335"/>
      <c r="AO94" s="335"/>
      <c r="AP94" s="335"/>
      <c r="AQ94" s="335"/>
      <c r="AR94" s="335"/>
      <c r="AS94" s="335"/>
      <c r="AT94" s="335"/>
      <c r="AU94" s="335"/>
      <c r="AV94" s="335"/>
      <c r="AW94" s="335"/>
      <c r="AX94" s="335"/>
      <c r="AY94" s="336"/>
      <c r="AZ94" s="199"/>
      <c r="BA94" s="199"/>
      <c r="BB94" s="199"/>
      <c r="BC94" s="199"/>
    </row>
    <row r="95" spans="1:55" ht="15.75" x14ac:dyDescent="0.25">
      <c r="A95" s="1423"/>
      <c r="B95" s="329" t="s">
        <v>385</v>
      </c>
      <c r="C95" s="330"/>
      <c r="D95" s="331"/>
      <c r="E95" s="332"/>
      <c r="F95" s="332"/>
      <c r="G95" s="332"/>
      <c r="H95" s="332"/>
      <c r="I95" s="332"/>
      <c r="J95" s="332"/>
      <c r="K95" s="333"/>
      <c r="L95" s="334"/>
      <c r="M95" s="335"/>
      <c r="N95" s="335"/>
      <c r="O95" s="335"/>
      <c r="P95" s="335"/>
      <c r="Q95" s="335"/>
      <c r="R95" s="335"/>
      <c r="S95" s="335"/>
      <c r="T95" s="335"/>
      <c r="U95" s="336"/>
      <c r="V95" s="334"/>
      <c r="W95" s="335"/>
      <c r="X95" s="335"/>
      <c r="Y95" s="335"/>
      <c r="Z95" s="335"/>
      <c r="AA95" s="335"/>
      <c r="AB95" s="335"/>
      <c r="AC95" s="335"/>
      <c r="AD95" s="335"/>
      <c r="AE95" s="335"/>
      <c r="AF95" s="335"/>
      <c r="AG95" s="335"/>
      <c r="AH95" s="335"/>
      <c r="AI95" s="335"/>
      <c r="AJ95" s="336"/>
      <c r="AK95" s="334"/>
      <c r="AL95" s="335"/>
      <c r="AM95" s="335"/>
      <c r="AN95" s="335"/>
      <c r="AO95" s="335"/>
      <c r="AP95" s="335"/>
      <c r="AQ95" s="335"/>
      <c r="AR95" s="335"/>
      <c r="AS95" s="335"/>
      <c r="AT95" s="335"/>
      <c r="AU95" s="335"/>
      <c r="AV95" s="335"/>
      <c r="AW95" s="335"/>
      <c r="AX95" s="335"/>
      <c r="AY95" s="336"/>
      <c r="AZ95" s="199"/>
      <c r="BA95" s="199"/>
      <c r="BB95" s="199"/>
      <c r="BC95" s="199"/>
    </row>
    <row r="96" spans="1:55" ht="15.75" x14ac:dyDescent="0.25">
      <c r="A96" s="1423"/>
      <c r="B96" s="329" t="s">
        <v>386</v>
      </c>
      <c r="C96" s="330"/>
      <c r="D96" s="357"/>
      <c r="E96" s="332"/>
      <c r="F96" s="332"/>
      <c r="G96" s="332"/>
      <c r="H96" s="332"/>
      <c r="I96" s="332"/>
      <c r="J96" s="332"/>
      <c r="K96" s="333"/>
      <c r="L96" s="334">
        <v>1</v>
      </c>
      <c r="M96" s="335">
        <v>1</v>
      </c>
      <c r="N96" s="335">
        <v>2</v>
      </c>
      <c r="O96" s="335"/>
      <c r="P96" s="335">
        <v>7</v>
      </c>
      <c r="Q96" s="335"/>
      <c r="R96" s="335"/>
      <c r="S96" s="335"/>
      <c r="T96" s="335"/>
      <c r="U96" s="336">
        <v>2</v>
      </c>
      <c r="V96" s="334"/>
      <c r="W96" s="335"/>
      <c r="X96" s="335"/>
      <c r="Y96" s="335"/>
      <c r="Z96" s="335"/>
      <c r="AA96" s="335"/>
      <c r="AB96" s="335"/>
      <c r="AC96" s="335"/>
      <c r="AD96" s="335"/>
      <c r="AE96" s="335"/>
      <c r="AF96" s="335"/>
      <c r="AG96" s="335"/>
      <c r="AH96" s="335"/>
      <c r="AI96" s="335"/>
      <c r="AJ96" s="336"/>
      <c r="AK96" s="334"/>
      <c r="AL96" s="335"/>
      <c r="AM96" s="335"/>
      <c r="AN96" s="335"/>
      <c r="AO96" s="335"/>
      <c r="AP96" s="335"/>
      <c r="AQ96" s="335"/>
      <c r="AR96" s="335"/>
      <c r="AS96" s="335"/>
      <c r="AT96" s="335"/>
      <c r="AU96" s="335"/>
      <c r="AV96" s="335"/>
      <c r="AW96" s="335"/>
      <c r="AX96" s="335"/>
      <c r="AY96" s="336"/>
      <c r="AZ96" s="199"/>
      <c r="BA96" s="199"/>
      <c r="BB96" s="199"/>
      <c r="BC96" s="199"/>
    </row>
    <row r="97" spans="1:55" ht="15.75" x14ac:dyDescent="0.25">
      <c r="A97" s="1423"/>
      <c r="B97" s="329" t="s">
        <v>387</v>
      </c>
      <c r="C97" s="330"/>
      <c r="D97" s="331">
        <v>35</v>
      </c>
      <c r="E97" s="332"/>
      <c r="F97" s="332"/>
      <c r="G97" s="332">
        <v>5</v>
      </c>
      <c r="H97" s="332"/>
      <c r="I97" s="332"/>
      <c r="J97" s="332"/>
      <c r="K97" s="333"/>
      <c r="L97" s="334"/>
      <c r="M97" s="335"/>
      <c r="N97" s="335"/>
      <c r="O97" s="335"/>
      <c r="P97" s="335"/>
      <c r="Q97" s="335"/>
      <c r="R97" s="335">
        <v>1</v>
      </c>
      <c r="S97" s="335"/>
      <c r="T97" s="335"/>
      <c r="U97" s="336"/>
      <c r="V97" s="334"/>
      <c r="W97" s="335"/>
      <c r="X97" s="335"/>
      <c r="Y97" s="335"/>
      <c r="Z97" s="335"/>
      <c r="AA97" s="335"/>
      <c r="AB97" s="335"/>
      <c r="AC97" s="335"/>
      <c r="AD97" s="335"/>
      <c r="AE97" s="335"/>
      <c r="AF97" s="335"/>
      <c r="AG97" s="335"/>
      <c r="AH97" s="335"/>
      <c r="AI97" s="335"/>
      <c r="AJ97" s="336"/>
      <c r="AK97" s="334"/>
      <c r="AL97" s="335"/>
      <c r="AM97" s="335"/>
      <c r="AN97" s="335"/>
      <c r="AO97" s="335"/>
      <c r="AP97" s="335"/>
      <c r="AQ97" s="335"/>
      <c r="AR97" s="335"/>
      <c r="AS97" s="335"/>
      <c r="AT97" s="335"/>
      <c r="AU97" s="335"/>
      <c r="AV97" s="335"/>
      <c r="AW97" s="335"/>
      <c r="AX97" s="335"/>
      <c r="AY97" s="336"/>
      <c r="AZ97" s="199"/>
      <c r="BA97" s="199"/>
      <c r="BB97" s="199"/>
      <c r="BC97" s="199"/>
    </row>
    <row r="98" spans="1:55" ht="15.75" x14ac:dyDescent="0.25">
      <c r="A98" s="1423"/>
      <c r="B98" s="329" t="str">
        <f>IF(K98&gt;0, "Outdoorsmanship", "(Needs Prerequisite)")</f>
        <v>(Needs Prerequisite)</v>
      </c>
      <c r="C98" s="330" t="s">
        <v>477</v>
      </c>
      <c r="D98" s="331"/>
      <c r="E98" s="332"/>
      <c r="F98" s="332"/>
      <c r="G98" s="332"/>
      <c r="H98" s="332"/>
      <c r="I98" s="332"/>
      <c r="J98" s="332"/>
      <c r="K98" s="333">
        <f>COUNTIF(skill_select, "*Wilderness Survival*")</f>
        <v>0</v>
      </c>
      <c r="L98" s="334"/>
      <c r="M98" s="335"/>
      <c r="N98" s="335">
        <v>1</v>
      </c>
      <c r="O98" s="335"/>
      <c r="P98" s="335">
        <v>7</v>
      </c>
      <c r="Q98" s="335"/>
      <c r="R98" s="335"/>
      <c r="S98" s="335"/>
      <c r="T98" s="335"/>
      <c r="U98" s="336"/>
      <c r="V98" s="334"/>
      <c r="W98" s="335"/>
      <c r="X98" s="335"/>
      <c r="Y98" s="335"/>
      <c r="Z98" s="335"/>
      <c r="AA98" s="335"/>
      <c r="AB98" s="335"/>
      <c r="AC98" s="335"/>
      <c r="AD98" s="335"/>
      <c r="AE98" s="335"/>
      <c r="AF98" s="335"/>
      <c r="AG98" s="335"/>
      <c r="AH98" s="335"/>
      <c r="AI98" s="335"/>
      <c r="AJ98" s="336"/>
      <c r="AK98" s="334"/>
      <c r="AL98" s="335"/>
      <c r="AM98" s="335"/>
      <c r="AN98" s="335"/>
      <c r="AO98" s="335"/>
      <c r="AP98" s="335"/>
      <c r="AQ98" s="335"/>
      <c r="AR98" s="335"/>
      <c r="AS98" s="335"/>
      <c r="AT98" s="335"/>
      <c r="AU98" s="335"/>
      <c r="AV98" s="335"/>
      <c r="AW98" s="335"/>
      <c r="AX98" s="335"/>
      <c r="AY98" s="336"/>
      <c r="AZ98" s="199"/>
      <c r="BA98" s="199"/>
      <c r="BB98" s="199"/>
      <c r="BC98" s="199"/>
    </row>
    <row r="99" spans="1:55" ht="15.75" x14ac:dyDescent="0.25">
      <c r="A99" s="1423"/>
      <c r="B99" s="329" t="s">
        <v>388</v>
      </c>
      <c r="C99" s="330"/>
      <c r="D99" s="331"/>
      <c r="E99" s="332"/>
      <c r="F99" s="332"/>
      <c r="G99" s="332"/>
      <c r="H99" s="332"/>
      <c r="I99" s="332"/>
      <c r="J99" s="332"/>
      <c r="K99" s="333"/>
      <c r="L99" s="334">
        <v>2</v>
      </c>
      <c r="M99" s="335"/>
      <c r="N99" s="335">
        <v>1</v>
      </c>
      <c r="O99" s="335"/>
      <c r="P99" s="335">
        <v>9</v>
      </c>
      <c r="Q99" s="335"/>
      <c r="R99" s="335"/>
      <c r="S99" s="335"/>
      <c r="T99" s="335"/>
      <c r="U99" s="336"/>
      <c r="V99" s="334"/>
      <c r="W99" s="335"/>
      <c r="X99" s="335"/>
      <c r="Y99" s="335"/>
      <c r="Z99" s="335"/>
      <c r="AA99" s="335"/>
      <c r="AB99" s="335"/>
      <c r="AC99" s="335"/>
      <c r="AD99" s="335"/>
      <c r="AE99" s="335"/>
      <c r="AF99" s="335"/>
      <c r="AG99" s="335"/>
      <c r="AH99" s="335"/>
      <c r="AI99" s="335"/>
      <c r="AJ99" s="336"/>
      <c r="AK99" s="334"/>
      <c r="AL99" s="335"/>
      <c r="AM99" s="335"/>
      <c r="AN99" s="335"/>
      <c r="AO99" s="335"/>
      <c r="AP99" s="335"/>
      <c r="AQ99" s="335"/>
      <c r="AR99" s="335"/>
      <c r="AS99" s="335"/>
      <c r="AT99" s="335"/>
      <c r="AU99" s="335"/>
      <c r="AV99" s="335"/>
      <c r="AW99" s="335"/>
      <c r="AX99" s="335"/>
      <c r="AY99" s="336"/>
      <c r="AZ99" s="199"/>
      <c r="BA99" s="199"/>
      <c r="BB99" s="199"/>
      <c r="BC99" s="199"/>
    </row>
    <row r="100" spans="1:55" ht="15.75" x14ac:dyDescent="0.25">
      <c r="A100" s="1423"/>
      <c r="B100" s="329" t="s">
        <v>389</v>
      </c>
      <c r="C100" s="330"/>
      <c r="D100" s="331">
        <v>25</v>
      </c>
      <c r="E100" s="332"/>
      <c r="F100" s="332"/>
      <c r="G100" s="332">
        <v>5</v>
      </c>
      <c r="H100" s="332">
        <f>IF(total_pb&gt;30, -10, 0)</f>
        <v>0</v>
      </c>
      <c r="I100" s="332">
        <f>IF(COUNTIF(skill_select, "*Hunting*")&gt;0, 2, 0)</f>
        <v>0</v>
      </c>
      <c r="J100" s="332"/>
      <c r="K100" s="333"/>
      <c r="L100" s="334"/>
      <c r="M100" s="335"/>
      <c r="N100" s="335"/>
      <c r="O100" s="335"/>
      <c r="P100" s="335"/>
      <c r="Q100" s="335"/>
      <c r="R100" s="335"/>
      <c r="S100" s="335"/>
      <c r="T100" s="335"/>
      <c r="U100" s="336"/>
      <c r="V100" s="334"/>
      <c r="W100" s="335"/>
      <c r="X100" s="335"/>
      <c r="Y100" s="335"/>
      <c r="Z100" s="335"/>
      <c r="AA100" s="335"/>
      <c r="AB100" s="335"/>
      <c r="AC100" s="335"/>
      <c r="AD100" s="335"/>
      <c r="AE100" s="335"/>
      <c r="AF100" s="335"/>
      <c r="AG100" s="335"/>
      <c r="AH100" s="335"/>
      <c r="AI100" s="335"/>
      <c r="AJ100" s="336"/>
      <c r="AK100" s="334"/>
      <c r="AL100" s="335"/>
      <c r="AM100" s="335"/>
      <c r="AN100" s="335"/>
      <c r="AO100" s="335"/>
      <c r="AP100" s="335"/>
      <c r="AQ100" s="335"/>
      <c r="AR100" s="335"/>
      <c r="AS100" s="335"/>
      <c r="AT100" s="335"/>
      <c r="AU100" s="335"/>
      <c r="AV100" s="335"/>
      <c r="AW100" s="335"/>
      <c r="AX100" s="335"/>
      <c r="AY100" s="336"/>
      <c r="AZ100" s="199"/>
      <c r="BA100" s="199"/>
      <c r="BB100" s="199"/>
      <c r="BC100" s="199"/>
    </row>
    <row r="101" spans="1:55" ht="15.75" x14ac:dyDescent="0.25">
      <c r="A101" s="1423"/>
      <c r="B101" s="329" t="s">
        <v>390</v>
      </c>
      <c r="C101" s="330"/>
      <c r="D101" s="331"/>
      <c r="E101" s="332"/>
      <c r="F101" s="332"/>
      <c r="G101" s="332"/>
      <c r="H101" s="332"/>
      <c r="I101" s="332"/>
      <c r="J101" s="332"/>
      <c r="K101" s="333"/>
      <c r="L101" s="334"/>
      <c r="M101" s="335"/>
      <c r="N101" s="335">
        <v>1</v>
      </c>
      <c r="O101" s="335">
        <v>10</v>
      </c>
      <c r="P101" s="335">
        <v>3.5</v>
      </c>
      <c r="Q101" s="335"/>
      <c r="R101" s="335"/>
      <c r="S101" s="335"/>
      <c r="T101" s="335"/>
      <c r="U101" s="336"/>
      <c r="V101" s="334"/>
      <c r="W101" s="335"/>
      <c r="X101" s="335"/>
      <c r="Y101" s="335"/>
      <c r="Z101" s="335"/>
      <c r="AA101" s="335"/>
      <c r="AB101" s="335"/>
      <c r="AC101" s="335"/>
      <c r="AD101" s="335"/>
      <c r="AE101" s="335"/>
      <c r="AF101" s="335"/>
      <c r="AG101" s="335"/>
      <c r="AH101" s="335"/>
      <c r="AI101" s="335"/>
      <c r="AJ101" s="336"/>
      <c r="AK101" s="334"/>
      <c r="AL101" s="335"/>
      <c r="AM101" s="335"/>
      <c r="AN101" s="335"/>
      <c r="AO101" s="335"/>
      <c r="AP101" s="335"/>
      <c r="AQ101" s="335"/>
      <c r="AR101" s="335"/>
      <c r="AS101" s="335"/>
      <c r="AT101" s="335"/>
      <c r="AU101" s="335"/>
      <c r="AV101" s="335"/>
      <c r="AW101" s="335"/>
      <c r="AX101" s="335"/>
      <c r="AY101" s="336"/>
      <c r="AZ101" s="199"/>
      <c r="BA101" s="199"/>
      <c r="BB101" s="199"/>
      <c r="BC101" s="199"/>
    </row>
    <row r="102" spans="1:55" ht="15.75" x14ac:dyDescent="0.25">
      <c r="A102" s="1423"/>
      <c r="B102" s="329" t="s">
        <v>391</v>
      </c>
      <c r="C102" s="330"/>
      <c r="D102" s="331">
        <v>40</v>
      </c>
      <c r="E102" s="332"/>
      <c r="F102" s="332"/>
      <c r="G102" s="332">
        <v>5</v>
      </c>
      <c r="H102" s="332"/>
      <c r="I102" s="332"/>
      <c r="J102" s="332"/>
      <c r="K102" s="333"/>
      <c r="L102" s="334"/>
      <c r="M102" s="335"/>
      <c r="N102" s="335"/>
      <c r="O102" s="335"/>
      <c r="P102" s="335"/>
      <c r="Q102" s="335"/>
      <c r="R102" s="335"/>
      <c r="S102" s="335"/>
      <c r="T102" s="335"/>
      <c r="U102" s="336"/>
      <c r="V102" s="334"/>
      <c r="W102" s="335"/>
      <c r="X102" s="335"/>
      <c r="Y102" s="335"/>
      <c r="Z102" s="335"/>
      <c r="AA102" s="335"/>
      <c r="AB102" s="335"/>
      <c r="AC102" s="335"/>
      <c r="AD102" s="335"/>
      <c r="AE102" s="335"/>
      <c r="AF102" s="335"/>
      <c r="AG102" s="335"/>
      <c r="AH102" s="335"/>
      <c r="AI102" s="335"/>
      <c r="AJ102" s="336"/>
      <c r="AK102" s="334"/>
      <c r="AL102" s="335"/>
      <c r="AM102" s="335"/>
      <c r="AN102" s="335"/>
      <c r="AO102" s="335"/>
      <c r="AP102" s="335"/>
      <c r="AQ102" s="335"/>
      <c r="AR102" s="335"/>
      <c r="AS102" s="335"/>
      <c r="AT102" s="335"/>
      <c r="AU102" s="335"/>
      <c r="AV102" s="335"/>
      <c r="AW102" s="335"/>
      <c r="AX102" s="335"/>
      <c r="AY102" s="336"/>
      <c r="AZ102" s="199"/>
      <c r="BA102" s="199"/>
      <c r="BB102" s="199"/>
      <c r="BC102" s="199"/>
    </row>
    <row r="103" spans="1:55" ht="15.75" x14ac:dyDescent="0.25">
      <c r="A103" s="1423"/>
      <c r="B103" s="329" t="s">
        <v>392</v>
      </c>
      <c r="C103" s="330"/>
      <c r="D103" s="357"/>
      <c r="E103" s="332"/>
      <c r="F103" s="332"/>
      <c r="G103" s="332"/>
      <c r="H103" s="332"/>
      <c r="I103" s="332"/>
      <c r="J103" s="332"/>
      <c r="K103" s="333"/>
      <c r="L103" s="334">
        <v>2</v>
      </c>
      <c r="M103" s="335"/>
      <c r="N103" s="335">
        <v>1</v>
      </c>
      <c r="O103" s="335"/>
      <c r="P103" s="335">
        <v>7</v>
      </c>
      <c r="Q103" s="335"/>
      <c r="R103" s="335"/>
      <c r="S103" s="335"/>
      <c r="T103" s="335"/>
      <c r="U103" s="336">
        <v>2</v>
      </c>
      <c r="V103" s="334"/>
      <c r="W103" s="335"/>
      <c r="X103" s="335"/>
      <c r="Y103" s="335"/>
      <c r="Z103" s="335"/>
      <c r="AA103" s="335"/>
      <c r="AB103" s="335"/>
      <c r="AC103" s="335"/>
      <c r="AD103" s="335"/>
      <c r="AE103" s="335"/>
      <c r="AF103" s="335"/>
      <c r="AG103" s="335"/>
      <c r="AH103" s="335"/>
      <c r="AI103" s="335"/>
      <c r="AJ103" s="336"/>
      <c r="AK103" s="334"/>
      <c r="AL103" s="335"/>
      <c r="AM103" s="335"/>
      <c r="AN103" s="335"/>
      <c r="AO103" s="335"/>
      <c r="AP103" s="335"/>
      <c r="AQ103" s="335"/>
      <c r="AR103" s="335"/>
      <c r="AS103" s="335"/>
      <c r="AT103" s="335"/>
      <c r="AU103" s="335"/>
      <c r="AV103" s="335"/>
      <c r="AW103" s="335"/>
      <c r="AX103" s="335"/>
      <c r="AY103" s="336"/>
      <c r="AZ103" s="199"/>
      <c r="BA103" s="199"/>
      <c r="BB103" s="199"/>
      <c r="BC103" s="199"/>
    </row>
    <row r="104" spans="1:55" ht="16.5" thickBot="1" x14ac:dyDescent="0.3">
      <c r="A104" s="1424"/>
      <c r="B104" s="337" t="s">
        <v>393</v>
      </c>
      <c r="C104" s="338"/>
      <c r="D104" s="339"/>
      <c r="E104" s="340"/>
      <c r="F104" s="340"/>
      <c r="G104" s="340"/>
      <c r="H104" s="340"/>
      <c r="I104" s="340"/>
      <c r="J104" s="340"/>
      <c r="K104" s="341"/>
      <c r="L104" s="342">
        <v>1</v>
      </c>
      <c r="M104" s="343"/>
      <c r="N104" s="343"/>
      <c r="O104" s="343"/>
      <c r="P104" s="343">
        <v>14</v>
      </c>
      <c r="Q104" s="343"/>
      <c r="R104" s="343"/>
      <c r="S104" s="343"/>
      <c r="T104" s="343"/>
      <c r="U104" s="344">
        <v>1</v>
      </c>
      <c r="V104" s="342"/>
      <c r="W104" s="343"/>
      <c r="X104" s="343"/>
      <c r="Y104" s="343"/>
      <c r="Z104" s="343"/>
      <c r="AA104" s="343"/>
      <c r="AB104" s="343"/>
      <c r="AC104" s="343"/>
      <c r="AD104" s="343"/>
      <c r="AE104" s="343"/>
      <c r="AF104" s="343"/>
      <c r="AG104" s="343"/>
      <c r="AH104" s="343"/>
      <c r="AI104" s="343"/>
      <c r="AJ104" s="344"/>
      <c r="AK104" s="342"/>
      <c r="AL104" s="343"/>
      <c r="AM104" s="343"/>
      <c r="AN104" s="343"/>
      <c r="AO104" s="343"/>
      <c r="AP104" s="343"/>
      <c r="AQ104" s="343"/>
      <c r="AR104" s="343"/>
      <c r="AS104" s="343"/>
      <c r="AT104" s="343"/>
      <c r="AU104" s="343"/>
      <c r="AV104" s="343"/>
      <c r="AW104" s="343"/>
      <c r="AX104" s="343"/>
      <c r="AY104" s="344"/>
      <c r="AZ104" s="199"/>
      <c r="BA104" s="199"/>
      <c r="BB104" s="199"/>
      <c r="BC104" s="199"/>
    </row>
    <row r="105" spans="1:55" ht="15.75" x14ac:dyDescent="0.25">
      <c r="A105" s="1412" t="s">
        <v>395</v>
      </c>
      <c r="B105" s="319" t="s">
        <v>394</v>
      </c>
      <c r="C105" s="320"/>
      <c r="D105" s="321">
        <v>24</v>
      </c>
      <c r="E105" s="322"/>
      <c r="F105" s="322"/>
      <c r="G105" s="322">
        <v>4</v>
      </c>
      <c r="H105" s="322">
        <f>IF(total_pb&gt;30, 5, 0)</f>
        <v>0</v>
      </c>
      <c r="I105" s="322">
        <f>IF(COUNTIF(skill_select, "*Palming*")&gt;0, 5, 0)+IF(COUNTIF(skill_select, "*Seduction*")&gt;0, 5, 0)</f>
        <v>0</v>
      </c>
      <c r="J105" s="322"/>
      <c r="K105" s="323"/>
      <c r="L105" s="324"/>
      <c r="M105" s="325"/>
      <c r="N105" s="325"/>
      <c r="O105" s="325"/>
      <c r="P105" s="325"/>
      <c r="Q105" s="325"/>
      <c r="R105" s="325"/>
      <c r="S105" s="325"/>
      <c r="T105" s="325"/>
      <c r="U105" s="326"/>
      <c r="V105" s="324"/>
      <c r="W105" s="325"/>
      <c r="X105" s="325"/>
      <c r="Y105" s="325"/>
      <c r="Z105" s="325"/>
      <c r="AA105" s="325"/>
      <c r="AB105" s="325"/>
      <c r="AC105" s="325"/>
      <c r="AD105" s="325"/>
      <c r="AE105" s="325"/>
      <c r="AF105" s="325"/>
      <c r="AG105" s="325"/>
      <c r="AH105" s="325"/>
      <c r="AI105" s="325"/>
      <c r="AJ105" s="326"/>
      <c r="AK105" s="324"/>
      <c r="AL105" s="325"/>
      <c r="AM105" s="325"/>
      <c r="AN105" s="325"/>
      <c r="AO105" s="325"/>
      <c r="AP105" s="325"/>
      <c r="AQ105" s="325"/>
      <c r="AR105" s="325"/>
      <c r="AS105" s="325"/>
      <c r="AT105" s="325"/>
      <c r="AU105" s="325"/>
      <c r="AV105" s="325"/>
      <c r="AW105" s="325"/>
      <c r="AX105" s="325"/>
      <c r="AY105" s="326"/>
      <c r="AZ105" s="199"/>
      <c r="BA105" s="199"/>
      <c r="BB105" s="199"/>
      <c r="BC105" s="199"/>
    </row>
    <row r="106" spans="1:55" ht="15.75" x14ac:dyDescent="0.25">
      <c r="A106" s="1401"/>
      <c r="B106" s="329" t="s">
        <v>396</v>
      </c>
      <c r="C106" s="330"/>
      <c r="D106" s="331">
        <v>20</v>
      </c>
      <c r="E106" s="332"/>
      <c r="F106" s="332"/>
      <c r="G106" s="332">
        <v>4</v>
      </c>
      <c r="H106" s="332">
        <f>IF(total_pb&gt;30, 5, 0)</f>
        <v>0</v>
      </c>
      <c r="I106" s="332"/>
      <c r="J106" s="332"/>
      <c r="K106" s="333"/>
      <c r="L106" s="334"/>
      <c r="M106" s="335"/>
      <c r="N106" s="335"/>
      <c r="O106" s="335"/>
      <c r="P106" s="335"/>
      <c r="Q106" s="335"/>
      <c r="R106" s="335"/>
      <c r="S106" s="335"/>
      <c r="T106" s="335"/>
      <c r="U106" s="336"/>
      <c r="V106" s="334"/>
      <c r="W106" s="335"/>
      <c r="X106" s="335"/>
      <c r="Y106" s="335"/>
      <c r="Z106" s="335"/>
      <c r="AA106" s="335"/>
      <c r="AB106" s="335"/>
      <c r="AC106" s="335"/>
      <c r="AD106" s="335"/>
      <c r="AE106" s="335"/>
      <c r="AF106" s="335"/>
      <c r="AG106" s="335"/>
      <c r="AH106" s="335"/>
      <c r="AI106" s="335"/>
      <c r="AJ106" s="336"/>
      <c r="AK106" s="334"/>
      <c r="AL106" s="335"/>
      <c r="AM106" s="335"/>
      <c r="AN106" s="335"/>
      <c r="AO106" s="335"/>
      <c r="AP106" s="335"/>
      <c r="AQ106" s="335"/>
      <c r="AR106" s="335"/>
      <c r="AS106" s="335"/>
      <c r="AT106" s="335"/>
      <c r="AU106" s="335"/>
      <c r="AV106" s="335"/>
      <c r="AW106" s="335"/>
      <c r="AX106" s="335"/>
      <c r="AY106" s="336"/>
      <c r="AZ106" s="199"/>
      <c r="BA106" s="199"/>
      <c r="BB106" s="199"/>
      <c r="BC106" s="199"/>
    </row>
    <row r="107" spans="1:55" ht="15.75" x14ac:dyDescent="0.25">
      <c r="A107" s="1401"/>
      <c r="B107" s="329" t="s">
        <v>397</v>
      </c>
      <c r="C107" s="330"/>
      <c r="D107" s="331">
        <v>24</v>
      </c>
      <c r="E107" s="332"/>
      <c r="F107" s="332"/>
      <c r="G107" s="332">
        <v>4</v>
      </c>
      <c r="H107" s="332">
        <f>IF(total_ma&gt;30, 5, 0)</f>
        <v>0</v>
      </c>
      <c r="I107" s="332"/>
      <c r="J107" s="332"/>
      <c r="K107" s="333"/>
      <c r="L107" s="334"/>
      <c r="M107" s="335"/>
      <c r="N107" s="335"/>
      <c r="O107" s="335"/>
      <c r="P107" s="335"/>
      <c r="Q107" s="335"/>
      <c r="R107" s="335"/>
      <c r="S107" s="335"/>
      <c r="T107" s="335"/>
      <c r="U107" s="336"/>
      <c r="V107" s="334"/>
      <c r="W107" s="335"/>
      <c r="X107" s="335"/>
      <c r="Y107" s="335"/>
      <c r="Z107" s="335"/>
      <c r="AA107" s="335"/>
      <c r="AB107" s="335"/>
      <c r="AC107" s="335"/>
      <c r="AD107" s="335"/>
      <c r="AE107" s="335"/>
      <c r="AF107" s="335"/>
      <c r="AG107" s="335"/>
      <c r="AH107" s="335"/>
      <c r="AI107" s="335"/>
      <c r="AJ107" s="336"/>
      <c r="AK107" s="334"/>
      <c r="AL107" s="335"/>
      <c r="AM107" s="335"/>
      <c r="AN107" s="335"/>
      <c r="AO107" s="335"/>
      <c r="AP107" s="335"/>
      <c r="AQ107" s="335"/>
      <c r="AR107" s="335"/>
      <c r="AS107" s="335"/>
      <c r="AT107" s="335"/>
      <c r="AU107" s="335"/>
      <c r="AV107" s="335"/>
      <c r="AW107" s="335"/>
      <c r="AX107" s="335"/>
      <c r="AY107" s="336"/>
      <c r="AZ107" s="199"/>
      <c r="BA107" s="199"/>
      <c r="BB107" s="199"/>
      <c r="BC107" s="199"/>
    </row>
    <row r="108" spans="1:55" ht="15.75" x14ac:dyDescent="0.25">
      <c r="A108" s="1401"/>
      <c r="B108" s="329" t="s">
        <v>398</v>
      </c>
      <c r="C108" s="330"/>
      <c r="D108" s="331">
        <v>15</v>
      </c>
      <c r="E108" s="332"/>
      <c r="F108" s="332"/>
      <c r="G108" s="332">
        <v>5</v>
      </c>
      <c r="H108" s="332"/>
      <c r="I108" s="332">
        <f>IF(COUNTIF(skill_select, "*Masonry*")&gt;0, 5, 0)+IF(COUNTIF(skill_select, "*Carpentry*")&gt;0, 5, 0)+IF(COUNTIF(skill_select, "*General Repair*")+COUNTIF(skill_select, "*Field Armorer*")&gt;0, 5, 0)</f>
        <v>0</v>
      </c>
      <c r="J108" s="332"/>
      <c r="K108" s="333"/>
      <c r="L108" s="334"/>
      <c r="M108" s="335"/>
      <c r="N108" s="335"/>
      <c r="O108" s="335"/>
      <c r="P108" s="335"/>
      <c r="Q108" s="335"/>
      <c r="R108" s="335"/>
      <c r="S108" s="335"/>
      <c r="T108" s="335"/>
      <c r="U108" s="336"/>
      <c r="V108" s="334"/>
      <c r="W108" s="335"/>
      <c r="X108" s="335"/>
      <c r="Y108" s="335"/>
      <c r="Z108" s="335"/>
      <c r="AA108" s="335"/>
      <c r="AB108" s="335"/>
      <c r="AC108" s="335"/>
      <c r="AD108" s="335"/>
      <c r="AE108" s="335"/>
      <c r="AF108" s="335"/>
      <c r="AG108" s="335"/>
      <c r="AH108" s="335"/>
      <c r="AI108" s="335"/>
      <c r="AJ108" s="336"/>
      <c r="AK108" s="334"/>
      <c r="AL108" s="335"/>
      <c r="AM108" s="335"/>
      <c r="AN108" s="335"/>
      <c r="AO108" s="335"/>
      <c r="AP108" s="335"/>
      <c r="AQ108" s="335"/>
      <c r="AR108" s="335"/>
      <c r="AS108" s="335"/>
      <c r="AT108" s="335"/>
      <c r="AU108" s="335"/>
      <c r="AV108" s="335"/>
      <c r="AW108" s="335"/>
      <c r="AX108" s="335"/>
      <c r="AY108" s="336"/>
      <c r="AZ108" s="199"/>
      <c r="BA108" s="199"/>
      <c r="BB108" s="199"/>
      <c r="BC108" s="199"/>
    </row>
    <row r="109" spans="1:55" ht="15.75" x14ac:dyDescent="0.25">
      <c r="A109" s="1401"/>
      <c r="B109" s="329" t="s">
        <v>399</v>
      </c>
      <c r="C109" s="330"/>
      <c r="D109" s="331">
        <v>20</v>
      </c>
      <c r="E109" s="332"/>
      <c r="F109" s="332"/>
      <c r="G109" s="332">
        <v>5</v>
      </c>
      <c r="H109" s="332">
        <f>IF(total_pb&gt;30, 5, 0)</f>
        <v>0</v>
      </c>
      <c r="I109" s="332"/>
      <c r="J109" s="332"/>
      <c r="K109" s="333"/>
      <c r="L109" s="334"/>
      <c r="M109" s="335"/>
      <c r="N109" s="335"/>
      <c r="O109" s="335"/>
      <c r="P109" s="335"/>
      <c r="Q109" s="335"/>
      <c r="R109" s="335"/>
      <c r="S109" s="335"/>
      <c r="T109" s="335"/>
      <c r="U109" s="336"/>
      <c r="V109" s="334"/>
      <c r="W109" s="335"/>
      <c r="X109" s="335"/>
      <c r="Y109" s="335"/>
      <c r="Z109" s="335"/>
      <c r="AA109" s="335"/>
      <c r="AB109" s="335"/>
      <c r="AC109" s="335"/>
      <c r="AD109" s="335"/>
      <c r="AE109" s="335"/>
      <c r="AF109" s="335"/>
      <c r="AG109" s="335"/>
      <c r="AH109" s="335"/>
      <c r="AI109" s="335"/>
      <c r="AJ109" s="336"/>
      <c r="AK109" s="334"/>
      <c r="AL109" s="335"/>
      <c r="AM109" s="335"/>
      <c r="AN109" s="335"/>
      <c r="AO109" s="335"/>
      <c r="AP109" s="335"/>
      <c r="AQ109" s="335"/>
      <c r="AR109" s="335"/>
      <c r="AS109" s="335"/>
      <c r="AT109" s="335"/>
      <c r="AU109" s="335"/>
      <c r="AV109" s="335"/>
      <c r="AW109" s="335"/>
      <c r="AX109" s="335"/>
      <c r="AY109" s="336"/>
      <c r="AZ109" s="199"/>
      <c r="BA109" s="199"/>
      <c r="BB109" s="199"/>
      <c r="BC109" s="199"/>
    </row>
    <row r="110" spans="1:55" ht="15.75" x14ac:dyDescent="0.25">
      <c r="A110" s="1401"/>
      <c r="B110" s="329" t="s">
        <v>346</v>
      </c>
      <c r="C110" s="330"/>
      <c r="D110" s="331">
        <v>30</v>
      </c>
      <c r="E110" s="332"/>
      <c r="F110" s="332"/>
      <c r="G110" s="332">
        <v>5</v>
      </c>
      <c r="H110" s="332"/>
      <c r="I110" s="332"/>
      <c r="J110" s="332"/>
      <c r="K110" s="333"/>
      <c r="L110" s="334"/>
      <c r="M110" s="335"/>
      <c r="N110" s="335"/>
      <c r="O110" s="335"/>
      <c r="P110" s="335"/>
      <c r="Q110" s="335"/>
      <c r="R110" s="335"/>
      <c r="S110" s="335"/>
      <c r="T110" s="335"/>
      <c r="U110" s="336"/>
      <c r="V110" s="334"/>
      <c r="W110" s="335"/>
      <c r="X110" s="335"/>
      <c r="Y110" s="335"/>
      <c r="Z110" s="335"/>
      <c r="AA110" s="335"/>
      <c r="AB110" s="335"/>
      <c r="AC110" s="335"/>
      <c r="AD110" s="335"/>
      <c r="AE110" s="335"/>
      <c r="AF110" s="335"/>
      <c r="AG110" s="335"/>
      <c r="AH110" s="335"/>
      <c r="AI110" s="335"/>
      <c r="AJ110" s="336"/>
      <c r="AK110" s="334"/>
      <c r="AL110" s="335"/>
      <c r="AM110" s="335"/>
      <c r="AN110" s="335"/>
      <c r="AO110" s="335"/>
      <c r="AP110" s="335"/>
      <c r="AQ110" s="335"/>
      <c r="AR110" s="335"/>
      <c r="AS110" s="335"/>
      <c r="AT110" s="335"/>
      <c r="AU110" s="335"/>
      <c r="AV110" s="335"/>
      <c r="AW110" s="335"/>
      <c r="AX110" s="335"/>
      <c r="AY110" s="336"/>
      <c r="AZ110" s="199"/>
      <c r="BA110" s="199"/>
      <c r="BB110" s="199"/>
      <c r="BC110" s="199"/>
    </row>
    <row r="111" spans="1:55" ht="15.75" x14ac:dyDescent="0.25">
      <c r="A111" s="1401"/>
      <c r="B111" s="329" t="s">
        <v>347</v>
      </c>
      <c r="C111" s="330"/>
      <c r="D111" s="331">
        <v>25</v>
      </c>
      <c r="E111" s="332"/>
      <c r="F111" s="332"/>
      <c r="G111" s="332">
        <v>5</v>
      </c>
      <c r="H111" s="332">
        <f>IF(total_pb&gt;30, 5, 0)</f>
        <v>0</v>
      </c>
      <c r="I111" s="332">
        <f>IF(COUNTIF(skill_select, "*Palming*")&gt;0, 5, 0)</f>
        <v>0</v>
      </c>
      <c r="J111" s="332"/>
      <c r="K111" s="333"/>
      <c r="L111" s="334"/>
      <c r="M111" s="335"/>
      <c r="N111" s="335"/>
      <c r="O111" s="335"/>
      <c r="P111" s="335"/>
      <c r="Q111" s="335"/>
      <c r="R111" s="335"/>
      <c r="S111" s="335"/>
      <c r="T111" s="335"/>
      <c r="U111" s="336"/>
      <c r="V111" s="334"/>
      <c r="W111" s="335"/>
      <c r="X111" s="335"/>
      <c r="Y111" s="335"/>
      <c r="Z111" s="335"/>
      <c r="AA111" s="335"/>
      <c r="AB111" s="335"/>
      <c r="AC111" s="335"/>
      <c r="AD111" s="335"/>
      <c r="AE111" s="335"/>
      <c r="AF111" s="335"/>
      <c r="AG111" s="335"/>
      <c r="AH111" s="335"/>
      <c r="AI111" s="335"/>
      <c r="AJ111" s="336"/>
      <c r="AK111" s="334"/>
      <c r="AL111" s="335"/>
      <c r="AM111" s="335"/>
      <c r="AN111" s="335"/>
      <c r="AO111" s="335"/>
      <c r="AP111" s="335"/>
      <c r="AQ111" s="335"/>
      <c r="AR111" s="335"/>
      <c r="AS111" s="335"/>
      <c r="AT111" s="335"/>
      <c r="AU111" s="335"/>
      <c r="AV111" s="335"/>
      <c r="AW111" s="335"/>
      <c r="AX111" s="335"/>
      <c r="AY111" s="336"/>
      <c r="AZ111" s="199"/>
      <c r="BA111" s="199"/>
      <c r="BB111" s="199"/>
      <c r="BC111" s="199"/>
    </row>
    <row r="112" spans="1:55" ht="15.75" x14ac:dyDescent="0.25">
      <c r="A112" s="1401"/>
      <c r="B112" s="329" t="s">
        <v>389</v>
      </c>
      <c r="C112" s="330"/>
      <c r="D112" s="331">
        <v>25</v>
      </c>
      <c r="E112" s="332"/>
      <c r="F112" s="332"/>
      <c r="G112" s="332">
        <v>5</v>
      </c>
      <c r="H112" s="332">
        <f>IF(total_pb&gt;30, -10, 0)</f>
        <v>0</v>
      </c>
      <c r="I112" s="332">
        <f>IF(COUNTIF(skill_select, "*Hunting*")&gt;0, 2, 0)</f>
        <v>0</v>
      </c>
      <c r="J112" s="332"/>
      <c r="K112" s="333"/>
      <c r="L112" s="334"/>
      <c r="M112" s="335"/>
      <c r="N112" s="335"/>
      <c r="O112" s="335"/>
      <c r="P112" s="335"/>
      <c r="Q112" s="335"/>
      <c r="R112" s="335"/>
      <c r="S112" s="335"/>
      <c r="T112" s="335"/>
      <c r="U112" s="336"/>
      <c r="V112" s="334"/>
      <c r="W112" s="335"/>
      <c r="X112" s="335"/>
      <c r="Y112" s="335"/>
      <c r="Z112" s="335"/>
      <c r="AA112" s="335"/>
      <c r="AB112" s="335"/>
      <c r="AC112" s="335"/>
      <c r="AD112" s="335"/>
      <c r="AE112" s="335"/>
      <c r="AF112" s="335"/>
      <c r="AG112" s="335"/>
      <c r="AH112" s="335"/>
      <c r="AI112" s="335"/>
      <c r="AJ112" s="336"/>
      <c r="AK112" s="334"/>
      <c r="AL112" s="335"/>
      <c r="AM112" s="335"/>
      <c r="AN112" s="335"/>
      <c r="AO112" s="335"/>
      <c r="AP112" s="335"/>
      <c r="AQ112" s="335"/>
      <c r="AR112" s="335"/>
      <c r="AS112" s="335"/>
      <c r="AT112" s="335"/>
      <c r="AU112" s="335"/>
      <c r="AV112" s="335"/>
      <c r="AW112" s="335"/>
      <c r="AX112" s="335"/>
      <c r="AY112" s="336"/>
      <c r="AZ112" s="199"/>
      <c r="BA112" s="199"/>
      <c r="BB112" s="199"/>
      <c r="BC112" s="199"/>
    </row>
    <row r="113" spans="1:55" ht="15.75" x14ac:dyDescent="0.25">
      <c r="A113" s="1401"/>
      <c r="B113" s="329" t="s">
        <v>400</v>
      </c>
      <c r="C113" s="330"/>
      <c r="D113" s="331">
        <v>20</v>
      </c>
      <c r="E113" s="332"/>
      <c r="F113" s="332"/>
      <c r="G113" s="332">
        <v>3</v>
      </c>
      <c r="H113" s="332">
        <f>IF(total_ma&gt;20, total_ma-20, 0)+IF(total_pb&gt;17, ROUNDUP((total_pb-17)/2, 0), 0)+IF(total_ma&gt;30, 5, 0)+IF(total_pb&gt;30, 13, 0)</f>
        <v>0</v>
      </c>
      <c r="I113" s="332"/>
      <c r="J113" s="332"/>
      <c r="K113" s="333"/>
      <c r="L113" s="334"/>
      <c r="M113" s="335"/>
      <c r="N113" s="335"/>
      <c r="O113" s="335"/>
      <c r="P113" s="335"/>
      <c r="Q113" s="335"/>
      <c r="R113" s="335"/>
      <c r="S113" s="335"/>
      <c r="T113" s="335"/>
      <c r="U113" s="336"/>
      <c r="V113" s="334"/>
      <c r="W113" s="335"/>
      <c r="X113" s="335"/>
      <c r="Y113" s="335"/>
      <c r="Z113" s="335"/>
      <c r="AA113" s="335"/>
      <c r="AB113" s="335"/>
      <c r="AC113" s="335"/>
      <c r="AD113" s="335"/>
      <c r="AE113" s="335"/>
      <c r="AF113" s="335"/>
      <c r="AG113" s="335"/>
      <c r="AH113" s="335"/>
      <c r="AI113" s="335"/>
      <c r="AJ113" s="336"/>
      <c r="AK113" s="334"/>
      <c r="AL113" s="335"/>
      <c r="AM113" s="335"/>
      <c r="AN113" s="335"/>
      <c r="AO113" s="335"/>
      <c r="AP113" s="335"/>
      <c r="AQ113" s="335"/>
      <c r="AR113" s="335"/>
      <c r="AS113" s="335"/>
      <c r="AT113" s="335"/>
      <c r="AU113" s="335"/>
      <c r="AV113" s="335"/>
      <c r="AW113" s="335"/>
      <c r="AX113" s="335"/>
      <c r="AY113" s="336"/>
      <c r="AZ113" s="199"/>
      <c r="BA113" s="199"/>
      <c r="BB113" s="199"/>
      <c r="BC113" s="199"/>
    </row>
    <row r="114" spans="1:55" ht="15.75" x14ac:dyDescent="0.25">
      <c r="A114" s="1401"/>
      <c r="B114" s="329" t="s">
        <v>401</v>
      </c>
      <c r="C114" s="330"/>
      <c r="D114" s="331">
        <v>20</v>
      </c>
      <c r="E114" s="332"/>
      <c r="F114" s="332"/>
      <c r="G114" s="332">
        <v>4</v>
      </c>
      <c r="H114" s="332"/>
      <c r="I114" s="332"/>
      <c r="J114" s="332"/>
      <c r="K114" s="333"/>
      <c r="L114" s="334"/>
      <c r="M114" s="335"/>
      <c r="N114" s="335"/>
      <c r="O114" s="335"/>
      <c r="P114" s="335"/>
      <c r="Q114" s="335"/>
      <c r="R114" s="335"/>
      <c r="S114" s="335"/>
      <c r="T114" s="335"/>
      <c r="U114" s="336"/>
      <c r="V114" s="334"/>
      <c r="W114" s="335"/>
      <c r="X114" s="335"/>
      <c r="Y114" s="335"/>
      <c r="Z114" s="335"/>
      <c r="AA114" s="335"/>
      <c r="AB114" s="335"/>
      <c r="AC114" s="335"/>
      <c r="AD114" s="335"/>
      <c r="AE114" s="335"/>
      <c r="AF114" s="335"/>
      <c r="AG114" s="335"/>
      <c r="AH114" s="335"/>
      <c r="AI114" s="335"/>
      <c r="AJ114" s="336"/>
      <c r="AK114" s="334"/>
      <c r="AL114" s="335"/>
      <c r="AM114" s="335"/>
      <c r="AN114" s="335"/>
      <c r="AO114" s="335"/>
      <c r="AP114" s="335"/>
      <c r="AQ114" s="335"/>
      <c r="AR114" s="335"/>
      <c r="AS114" s="335"/>
      <c r="AT114" s="335"/>
      <c r="AU114" s="335"/>
      <c r="AV114" s="335"/>
      <c r="AW114" s="335"/>
      <c r="AX114" s="335"/>
      <c r="AY114" s="336"/>
      <c r="AZ114" s="199"/>
      <c r="BA114" s="199"/>
      <c r="BB114" s="199"/>
      <c r="BC114" s="199"/>
    </row>
    <row r="115" spans="1:55" ht="15.75" x14ac:dyDescent="0.25">
      <c r="A115" s="1401"/>
      <c r="B115" s="329" t="s">
        <v>402</v>
      </c>
      <c r="C115" s="330"/>
      <c r="D115" s="331">
        <v>24</v>
      </c>
      <c r="E115" s="332">
        <v>16</v>
      </c>
      <c r="F115" s="332"/>
      <c r="G115" s="332">
        <v>4</v>
      </c>
      <c r="H115" s="332"/>
      <c r="I115" s="332">
        <f>IF(COUNTIF(skill_select, "*Holistic Medicine*")&gt;0, 4, 0)+IF(COUNTIF(skill_select, "*Holistic Chemistry*")&gt;0, 5, 0)</f>
        <v>0</v>
      </c>
      <c r="J115" s="332"/>
      <c r="K115" s="333"/>
      <c r="L115" s="334"/>
      <c r="M115" s="335"/>
      <c r="N115" s="335"/>
      <c r="O115" s="335"/>
      <c r="P115" s="335"/>
      <c r="Q115" s="335"/>
      <c r="R115" s="335"/>
      <c r="S115" s="335"/>
      <c r="T115" s="335"/>
      <c r="U115" s="336"/>
      <c r="V115" s="334"/>
      <c r="W115" s="335"/>
      <c r="X115" s="335"/>
      <c r="Y115" s="335"/>
      <c r="Z115" s="335"/>
      <c r="AA115" s="335"/>
      <c r="AB115" s="335"/>
      <c r="AC115" s="335"/>
      <c r="AD115" s="335"/>
      <c r="AE115" s="335"/>
      <c r="AF115" s="335"/>
      <c r="AG115" s="335"/>
      <c r="AH115" s="335"/>
      <c r="AI115" s="335"/>
      <c r="AJ115" s="336"/>
      <c r="AK115" s="334"/>
      <c r="AL115" s="335"/>
      <c r="AM115" s="335"/>
      <c r="AN115" s="335"/>
      <c r="AO115" s="335"/>
      <c r="AP115" s="335"/>
      <c r="AQ115" s="335"/>
      <c r="AR115" s="335"/>
      <c r="AS115" s="335"/>
      <c r="AT115" s="335"/>
      <c r="AU115" s="335"/>
      <c r="AV115" s="335"/>
      <c r="AW115" s="335"/>
      <c r="AX115" s="335"/>
      <c r="AY115" s="336"/>
      <c r="AZ115" s="199"/>
      <c r="BA115" s="199"/>
      <c r="BB115" s="199"/>
      <c r="BC115" s="199"/>
    </row>
    <row r="116" spans="1:55" ht="16.5" thickBot="1" x14ac:dyDescent="0.3">
      <c r="A116" s="1402"/>
      <c r="B116" s="337" t="s">
        <v>403</v>
      </c>
      <c r="C116" s="338"/>
      <c r="D116" s="339">
        <v>16</v>
      </c>
      <c r="E116" s="340"/>
      <c r="F116" s="340"/>
      <c r="G116" s="340">
        <v>4</v>
      </c>
      <c r="H116" s="340"/>
      <c r="I116" s="340"/>
      <c r="J116" s="340"/>
      <c r="K116" s="341"/>
      <c r="L116" s="342"/>
      <c r="M116" s="343"/>
      <c r="N116" s="343"/>
      <c r="O116" s="343"/>
      <c r="P116" s="343"/>
      <c r="Q116" s="343"/>
      <c r="R116" s="343"/>
      <c r="S116" s="343"/>
      <c r="T116" s="343"/>
      <c r="U116" s="344"/>
      <c r="V116" s="342"/>
      <c r="W116" s="343"/>
      <c r="X116" s="343"/>
      <c r="Y116" s="343"/>
      <c r="Z116" s="343"/>
      <c r="AA116" s="343"/>
      <c r="AB116" s="343"/>
      <c r="AC116" s="343"/>
      <c r="AD116" s="343"/>
      <c r="AE116" s="343"/>
      <c r="AF116" s="343"/>
      <c r="AG116" s="343"/>
      <c r="AH116" s="343"/>
      <c r="AI116" s="343"/>
      <c r="AJ116" s="344"/>
      <c r="AK116" s="342"/>
      <c r="AL116" s="343"/>
      <c r="AM116" s="343"/>
      <c r="AN116" s="343"/>
      <c r="AO116" s="343"/>
      <c r="AP116" s="343"/>
      <c r="AQ116" s="343"/>
      <c r="AR116" s="343"/>
      <c r="AS116" s="343"/>
      <c r="AT116" s="343"/>
      <c r="AU116" s="343"/>
      <c r="AV116" s="343"/>
      <c r="AW116" s="343"/>
      <c r="AX116" s="343"/>
      <c r="AY116" s="344"/>
      <c r="AZ116" s="199"/>
      <c r="BA116" s="199"/>
      <c r="BB116" s="199"/>
      <c r="BC116" s="199"/>
    </row>
    <row r="117" spans="1:55" ht="15.75" x14ac:dyDescent="0.25">
      <c r="A117" s="1406" t="s">
        <v>405</v>
      </c>
      <c r="B117" s="319" t="s">
        <v>404</v>
      </c>
      <c r="C117" s="320"/>
      <c r="D117" s="321">
        <v>30</v>
      </c>
      <c r="E117" s="322"/>
      <c r="F117" s="322"/>
      <c r="G117" s="322">
        <v>5</v>
      </c>
      <c r="H117" s="322"/>
      <c r="I117" s="322">
        <f>IF(COUNTIF(skill_select, "*Appraise Goods*")&gt;1, 15, 0)</f>
        <v>0</v>
      </c>
      <c r="J117" s="322"/>
      <c r="K117" s="323"/>
      <c r="L117" s="324"/>
      <c r="M117" s="325"/>
      <c r="N117" s="325"/>
      <c r="O117" s="325"/>
      <c r="P117" s="325"/>
      <c r="Q117" s="325"/>
      <c r="R117" s="325"/>
      <c r="S117" s="325"/>
      <c r="T117" s="325"/>
      <c r="U117" s="326"/>
      <c r="V117" s="324"/>
      <c r="W117" s="325"/>
      <c r="X117" s="325"/>
      <c r="Y117" s="325"/>
      <c r="Z117" s="325"/>
      <c r="AA117" s="325"/>
      <c r="AB117" s="325"/>
      <c r="AC117" s="325"/>
      <c r="AD117" s="325"/>
      <c r="AE117" s="325"/>
      <c r="AF117" s="325"/>
      <c r="AG117" s="325"/>
      <c r="AH117" s="325"/>
      <c r="AI117" s="325"/>
      <c r="AJ117" s="326"/>
      <c r="AK117" s="324"/>
      <c r="AL117" s="325"/>
      <c r="AM117" s="325"/>
      <c r="AN117" s="325"/>
      <c r="AO117" s="325"/>
      <c r="AP117" s="325"/>
      <c r="AQ117" s="325"/>
      <c r="AR117" s="325"/>
      <c r="AS117" s="325"/>
      <c r="AT117" s="325"/>
      <c r="AU117" s="325"/>
      <c r="AV117" s="325"/>
      <c r="AW117" s="325"/>
      <c r="AX117" s="325"/>
      <c r="AY117" s="326"/>
      <c r="AZ117" s="199"/>
      <c r="BA117" s="199"/>
      <c r="BB117" s="199"/>
      <c r="BC117" s="199"/>
    </row>
    <row r="118" spans="1:55" ht="15.75" x14ac:dyDescent="0.25">
      <c r="A118" s="1407"/>
      <c r="B118" s="329" t="s">
        <v>406</v>
      </c>
      <c r="C118" s="330"/>
      <c r="D118" s="331">
        <v>20</v>
      </c>
      <c r="E118" s="332"/>
      <c r="F118" s="332"/>
      <c r="G118" s="332">
        <v>4</v>
      </c>
      <c r="H118" s="332"/>
      <c r="I118" s="332"/>
      <c r="J118" s="332"/>
      <c r="K118" s="333"/>
      <c r="L118" s="334"/>
      <c r="M118" s="335"/>
      <c r="N118" s="335"/>
      <c r="O118" s="335"/>
      <c r="P118" s="335"/>
      <c r="Q118" s="335"/>
      <c r="R118" s="335"/>
      <c r="S118" s="335"/>
      <c r="T118" s="335"/>
      <c r="U118" s="336"/>
      <c r="V118" s="334"/>
      <c r="W118" s="335"/>
      <c r="X118" s="335"/>
      <c r="Y118" s="335"/>
      <c r="Z118" s="335"/>
      <c r="AA118" s="335"/>
      <c r="AB118" s="335"/>
      <c r="AC118" s="335"/>
      <c r="AD118" s="335"/>
      <c r="AE118" s="335"/>
      <c r="AF118" s="335"/>
      <c r="AG118" s="335"/>
      <c r="AH118" s="335"/>
      <c r="AI118" s="335"/>
      <c r="AJ118" s="336"/>
      <c r="AK118" s="334"/>
      <c r="AL118" s="335"/>
      <c r="AM118" s="335"/>
      <c r="AN118" s="335"/>
      <c r="AO118" s="335"/>
      <c r="AP118" s="335"/>
      <c r="AQ118" s="335"/>
      <c r="AR118" s="335"/>
      <c r="AS118" s="335"/>
      <c r="AT118" s="335"/>
      <c r="AU118" s="335"/>
      <c r="AV118" s="335"/>
      <c r="AW118" s="335"/>
      <c r="AX118" s="335"/>
      <c r="AY118" s="336"/>
      <c r="AZ118" s="199"/>
      <c r="BA118" s="199"/>
      <c r="BB118" s="199"/>
      <c r="BC118" s="199"/>
    </row>
    <row r="119" spans="1:55" ht="15.75" x14ac:dyDescent="0.25">
      <c r="A119" s="1407"/>
      <c r="B119" s="329" t="s">
        <v>407</v>
      </c>
      <c r="C119" s="330"/>
      <c r="D119" s="331">
        <v>35</v>
      </c>
      <c r="E119" s="332"/>
      <c r="F119" s="332"/>
      <c r="G119" s="332">
        <v>5</v>
      </c>
      <c r="H119" s="332"/>
      <c r="I119" s="332"/>
      <c r="J119" s="332"/>
      <c r="K119" s="333"/>
      <c r="L119" s="334"/>
      <c r="M119" s="335"/>
      <c r="N119" s="335"/>
      <c r="O119" s="335"/>
      <c r="P119" s="335"/>
      <c r="Q119" s="335"/>
      <c r="R119" s="335"/>
      <c r="S119" s="335"/>
      <c r="T119" s="335"/>
      <c r="U119" s="336"/>
      <c r="V119" s="334"/>
      <c r="W119" s="335"/>
      <c r="X119" s="335"/>
      <c r="Y119" s="335"/>
      <c r="Z119" s="335"/>
      <c r="AA119" s="335"/>
      <c r="AB119" s="335"/>
      <c r="AC119" s="335"/>
      <c r="AD119" s="335"/>
      <c r="AE119" s="335"/>
      <c r="AF119" s="335"/>
      <c r="AG119" s="335"/>
      <c r="AH119" s="335"/>
      <c r="AI119" s="335"/>
      <c r="AJ119" s="336"/>
      <c r="AK119" s="334"/>
      <c r="AL119" s="335"/>
      <c r="AM119" s="335"/>
      <c r="AN119" s="335"/>
      <c r="AO119" s="335"/>
      <c r="AP119" s="335"/>
      <c r="AQ119" s="335"/>
      <c r="AR119" s="335"/>
      <c r="AS119" s="335"/>
      <c r="AT119" s="335"/>
      <c r="AU119" s="335"/>
      <c r="AV119" s="335"/>
      <c r="AW119" s="335"/>
      <c r="AX119" s="335"/>
      <c r="AY119" s="336"/>
      <c r="AZ119" s="199"/>
      <c r="BA119" s="199"/>
      <c r="BB119" s="199"/>
      <c r="BC119" s="199"/>
    </row>
    <row r="120" spans="1:55" ht="15.75" x14ac:dyDescent="0.25">
      <c r="A120" s="1407"/>
      <c r="B120" s="329" t="s">
        <v>408</v>
      </c>
      <c r="C120" s="330"/>
      <c r="D120" s="331">
        <v>35</v>
      </c>
      <c r="E120" s="332"/>
      <c r="F120" s="332"/>
      <c r="G120" s="332">
        <v>5</v>
      </c>
      <c r="H120" s="332"/>
      <c r="I120" s="332">
        <f>IF(COUNTIF(skill_select, "*Art*")&gt;1, 10, 0)</f>
        <v>0</v>
      </c>
      <c r="J120" s="332"/>
      <c r="K120" s="333"/>
      <c r="L120" s="334"/>
      <c r="M120" s="335"/>
      <c r="N120" s="335"/>
      <c r="O120" s="335"/>
      <c r="P120" s="335"/>
      <c r="Q120" s="335"/>
      <c r="R120" s="335"/>
      <c r="S120" s="335"/>
      <c r="T120" s="335"/>
      <c r="U120" s="336"/>
      <c r="V120" s="334"/>
      <c r="W120" s="335"/>
      <c r="X120" s="335"/>
      <c r="Y120" s="335"/>
      <c r="Z120" s="335"/>
      <c r="AA120" s="335"/>
      <c r="AB120" s="335"/>
      <c r="AC120" s="335"/>
      <c r="AD120" s="335"/>
      <c r="AE120" s="335"/>
      <c r="AF120" s="335"/>
      <c r="AG120" s="335"/>
      <c r="AH120" s="335"/>
      <c r="AI120" s="335"/>
      <c r="AJ120" s="336"/>
      <c r="AK120" s="334"/>
      <c r="AL120" s="335"/>
      <c r="AM120" s="335"/>
      <c r="AN120" s="335"/>
      <c r="AO120" s="335"/>
      <c r="AP120" s="335"/>
      <c r="AQ120" s="335"/>
      <c r="AR120" s="335"/>
      <c r="AS120" s="335"/>
      <c r="AT120" s="335"/>
      <c r="AU120" s="335"/>
      <c r="AV120" s="335"/>
      <c r="AW120" s="335"/>
      <c r="AX120" s="335"/>
      <c r="AY120" s="336"/>
      <c r="AZ120" s="199"/>
      <c r="BA120" s="199"/>
      <c r="BB120" s="199"/>
      <c r="BC120" s="199"/>
    </row>
    <row r="121" spans="1:55" ht="15.75" x14ac:dyDescent="0.25">
      <c r="A121" s="1407"/>
      <c r="B121" s="329" t="s">
        <v>409</v>
      </c>
      <c r="C121" s="330"/>
      <c r="D121" s="331">
        <v>40</v>
      </c>
      <c r="E121" s="332">
        <v>20</v>
      </c>
      <c r="F121" s="332"/>
      <c r="G121" s="332">
        <v>5</v>
      </c>
      <c r="H121" s="332"/>
      <c r="I121" s="332"/>
      <c r="J121" s="332"/>
      <c r="K121" s="333"/>
      <c r="L121" s="334"/>
      <c r="M121" s="335"/>
      <c r="N121" s="335"/>
      <c r="O121" s="335"/>
      <c r="P121" s="335"/>
      <c r="Q121" s="335"/>
      <c r="R121" s="335"/>
      <c r="S121" s="335"/>
      <c r="T121" s="335"/>
      <c r="U121" s="336"/>
      <c r="V121" s="334"/>
      <c r="W121" s="335"/>
      <c r="X121" s="335"/>
      <c r="Y121" s="335"/>
      <c r="Z121" s="335"/>
      <c r="AA121" s="335"/>
      <c r="AB121" s="335"/>
      <c r="AC121" s="335"/>
      <c r="AD121" s="335"/>
      <c r="AE121" s="335"/>
      <c r="AF121" s="335"/>
      <c r="AG121" s="335"/>
      <c r="AH121" s="335"/>
      <c r="AI121" s="335"/>
      <c r="AJ121" s="336"/>
      <c r="AK121" s="334"/>
      <c r="AL121" s="335"/>
      <c r="AM121" s="335"/>
      <c r="AN121" s="335"/>
      <c r="AO121" s="335"/>
      <c r="AP121" s="335"/>
      <c r="AQ121" s="335"/>
      <c r="AR121" s="335"/>
      <c r="AS121" s="335"/>
      <c r="AT121" s="335"/>
      <c r="AU121" s="335"/>
      <c r="AV121" s="335"/>
      <c r="AW121" s="335"/>
      <c r="AX121" s="335"/>
      <c r="AY121" s="336"/>
      <c r="AZ121" s="199"/>
      <c r="BA121" s="199"/>
      <c r="BB121" s="199"/>
      <c r="BC121" s="199"/>
    </row>
    <row r="122" spans="1:55" ht="15.75" x14ac:dyDescent="0.25">
      <c r="A122" s="1407"/>
      <c r="B122" s="329" t="s">
        <v>374</v>
      </c>
      <c r="C122" s="330"/>
      <c r="D122" s="331">
        <v>32</v>
      </c>
      <c r="E122" s="332"/>
      <c r="F122" s="332"/>
      <c r="G122" s="332">
        <v>4</v>
      </c>
      <c r="H122" s="332"/>
      <c r="I122" s="332"/>
      <c r="J122" s="332"/>
      <c r="K122" s="333"/>
      <c r="L122" s="334"/>
      <c r="M122" s="335"/>
      <c r="N122" s="335"/>
      <c r="O122" s="335"/>
      <c r="P122" s="335"/>
      <c r="Q122" s="335"/>
      <c r="R122" s="335"/>
      <c r="S122" s="335"/>
      <c r="T122" s="335"/>
      <c r="U122" s="336"/>
      <c r="V122" s="334"/>
      <c r="W122" s="335"/>
      <c r="X122" s="335"/>
      <c r="Y122" s="335"/>
      <c r="Z122" s="335"/>
      <c r="AA122" s="335"/>
      <c r="AB122" s="335"/>
      <c r="AC122" s="335"/>
      <c r="AD122" s="335"/>
      <c r="AE122" s="335"/>
      <c r="AF122" s="335"/>
      <c r="AG122" s="335"/>
      <c r="AH122" s="335"/>
      <c r="AI122" s="335"/>
      <c r="AJ122" s="336"/>
      <c r="AK122" s="334"/>
      <c r="AL122" s="335"/>
      <c r="AM122" s="335"/>
      <c r="AN122" s="335"/>
      <c r="AO122" s="335"/>
      <c r="AP122" s="335"/>
      <c r="AQ122" s="335"/>
      <c r="AR122" s="335"/>
      <c r="AS122" s="335"/>
      <c r="AT122" s="335"/>
      <c r="AU122" s="335"/>
      <c r="AV122" s="335"/>
      <c r="AW122" s="335"/>
      <c r="AX122" s="335"/>
      <c r="AY122" s="336"/>
      <c r="AZ122" s="199"/>
      <c r="BA122" s="199"/>
      <c r="BB122" s="199"/>
      <c r="BC122" s="199"/>
    </row>
    <row r="123" spans="1:55" ht="15.75" x14ac:dyDescent="0.25">
      <c r="A123" s="1407"/>
      <c r="B123" s="329" t="s">
        <v>410</v>
      </c>
      <c r="C123" s="330"/>
      <c r="D123" s="331">
        <v>30</v>
      </c>
      <c r="E123" s="332"/>
      <c r="F123" s="332"/>
      <c r="G123" s="332">
        <v>5</v>
      </c>
      <c r="H123" s="332"/>
      <c r="I123" s="332"/>
      <c r="J123" s="332"/>
      <c r="K123" s="333"/>
      <c r="L123" s="334"/>
      <c r="M123" s="335"/>
      <c r="N123" s="335"/>
      <c r="O123" s="335"/>
      <c r="P123" s="335"/>
      <c r="Q123" s="335"/>
      <c r="R123" s="335"/>
      <c r="S123" s="335"/>
      <c r="T123" s="335"/>
      <c r="U123" s="336"/>
      <c r="V123" s="334"/>
      <c r="W123" s="335"/>
      <c r="X123" s="335"/>
      <c r="Y123" s="335"/>
      <c r="Z123" s="335"/>
      <c r="AA123" s="335"/>
      <c r="AB123" s="335"/>
      <c r="AC123" s="335"/>
      <c r="AD123" s="335"/>
      <c r="AE123" s="335"/>
      <c r="AF123" s="335"/>
      <c r="AG123" s="335"/>
      <c r="AH123" s="335"/>
      <c r="AI123" s="335"/>
      <c r="AJ123" s="336"/>
      <c r="AK123" s="334"/>
      <c r="AL123" s="335"/>
      <c r="AM123" s="335"/>
      <c r="AN123" s="335"/>
      <c r="AO123" s="335"/>
      <c r="AP123" s="335"/>
      <c r="AQ123" s="335"/>
      <c r="AR123" s="335"/>
      <c r="AS123" s="335"/>
      <c r="AT123" s="335"/>
      <c r="AU123" s="335"/>
      <c r="AV123" s="335"/>
      <c r="AW123" s="335"/>
      <c r="AX123" s="335"/>
      <c r="AY123" s="336"/>
      <c r="AZ123" s="199"/>
      <c r="BA123" s="199"/>
      <c r="BB123" s="199"/>
      <c r="BC123" s="199"/>
    </row>
    <row r="124" spans="1:55" ht="15.75" x14ac:dyDescent="0.25">
      <c r="A124" s="1407"/>
      <c r="B124" s="329" t="s">
        <v>411</v>
      </c>
      <c r="C124" s="330"/>
      <c r="D124" s="331">
        <v>25</v>
      </c>
      <c r="E124" s="332"/>
      <c r="F124" s="332"/>
      <c r="G124" s="332">
        <v>5</v>
      </c>
      <c r="H124" s="332"/>
      <c r="I124" s="332"/>
      <c r="J124" s="332"/>
      <c r="K124" s="333"/>
      <c r="L124" s="334"/>
      <c r="M124" s="335"/>
      <c r="N124" s="335"/>
      <c r="O124" s="335"/>
      <c r="P124" s="335"/>
      <c r="Q124" s="335"/>
      <c r="R124" s="335"/>
      <c r="S124" s="335"/>
      <c r="T124" s="335"/>
      <c r="U124" s="336"/>
      <c r="V124" s="334"/>
      <c r="W124" s="335"/>
      <c r="X124" s="335"/>
      <c r="Y124" s="335"/>
      <c r="Z124" s="335"/>
      <c r="AA124" s="335"/>
      <c r="AB124" s="335"/>
      <c r="AC124" s="335"/>
      <c r="AD124" s="335"/>
      <c r="AE124" s="335"/>
      <c r="AF124" s="335"/>
      <c r="AG124" s="335"/>
      <c r="AH124" s="335"/>
      <c r="AI124" s="335"/>
      <c r="AJ124" s="336"/>
      <c r="AK124" s="334"/>
      <c r="AL124" s="335"/>
      <c r="AM124" s="335"/>
      <c r="AN124" s="335"/>
      <c r="AO124" s="335"/>
      <c r="AP124" s="335"/>
      <c r="AQ124" s="335"/>
      <c r="AR124" s="335"/>
      <c r="AS124" s="335"/>
      <c r="AT124" s="335"/>
      <c r="AU124" s="335"/>
      <c r="AV124" s="335"/>
      <c r="AW124" s="335"/>
      <c r="AX124" s="335"/>
      <c r="AY124" s="336"/>
      <c r="AZ124" s="199"/>
      <c r="BA124" s="199"/>
      <c r="BB124" s="199"/>
      <c r="BC124" s="199"/>
    </row>
    <row r="125" spans="1:55" ht="15.75" x14ac:dyDescent="0.25">
      <c r="A125" s="1407"/>
      <c r="B125" s="329" t="s">
        <v>412</v>
      </c>
      <c r="C125" s="330"/>
      <c r="D125" s="331">
        <v>25</v>
      </c>
      <c r="E125" s="332"/>
      <c r="F125" s="332"/>
      <c r="G125" s="332">
        <v>5</v>
      </c>
      <c r="H125" s="332"/>
      <c r="I125" s="332"/>
      <c r="J125" s="332"/>
      <c r="K125" s="333"/>
      <c r="L125" s="334"/>
      <c r="M125" s="335"/>
      <c r="N125" s="335"/>
      <c r="O125" s="335"/>
      <c r="P125" s="335"/>
      <c r="Q125" s="335"/>
      <c r="R125" s="335"/>
      <c r="S125" s="335"/>
      <c r="T125" s="335"/>
      <c r="U125" s="336"/>
      <c r="V125" s="334"/>
      <c r="W125" s="335"/>
      <c r="X125" s="335"/>
      <c r="Y125" s="335"/>
      <c r="Z125" s="335"/>
      <c r="AA125" s="335"/>
      <c r="AB125" s="335"/>
      <c r="AC125" s="335"/>
      <c r="AD125" s="335"/>
      <c r="AE125" s="335"/>
      <c r="AF125" s="335"/>
      <c r="AG125" s="335"/>
      <c r="AH125" s="335"/>
      <c r="AI125" s="335"/>
      <c r="AJ125" s="336"/>
      <c r="AK125" s="334"/>
      <c r="AL125" s="335"/>
      <c r="AM125" s="335"/>
      <c r="AN125" s="335"/>
      <c r="AO125" s="335"/>
      <c r="AP125" s="335"/>
      <c r="AQ125" s="335"/>
      <c r="AR125" s="335"/>
      <c r="AS125" s="335"/>
      <c r="AT125" s="335"/>
      <c r="AU125" s="335"/>
      <c r="AV125" s="335"/>
      <c r="AW125" s="335"/>
      <c r="AX125" s="335"/>
      <c r="AY125" s="336"/>
      <c r="AZ125" s="199"/>
      <c r="BA125" s="199"/>
      <c r="BB125" s="199"/>
      <c r="BC125" s="199"/>
    </row>
    <row r="126" spans="1:55" ht="15.75" x14ac:dyDescent="0.25">
      <c r="A126" s="1407"/>
      <c r="B126" s="329" t="s">
        <v>413</v>
      </c>
      <c r="C126" s="330"/>
      <c r="D126" s="331">
        <v>25</v>
      </c>
      <c r="E126" s="332"/>
      <c r="F126" s="332"/>
      <c r="G126" s="332">
        <v>5</v>
      </c>
      <c r="H126" s="332"/>
      <c r="I126" s="332"/>
      <c r="J126" s="332"/>
      <c r="K126" s="333"/>
      <c r="L126" s="334"/>
      <c r="M126" s="335"/>
      <c r="N126" s="335"/>
      <c r="O126" s="335"/>
      <c r="P126" s="335"/>
      <c r="Q126" s="335"/>
      <c r="R126" s="335"/>
      <c r="S126" s="335"/>
      <c r="T126" s="335"/>
      <c r="U126" s="336"/>
      <c r="V126" s="334"/>
      <c r="W126" s="335"/>
      <c r="X126" s="335"/>
      <c r="Y126" s="335"/>
      <c r="Z126" s="335"/>
      <c r="AA126" s="335"/>
      <c r="AB126" s="335"/>
      <c r="AC126" s="335"/>
      <c r="AD126" s="335"/>
      <c r="AE126" s="335"/>
      <c r="AF126" s="335"/>
      <c r="AG126" s="335"/>
      <c r="AH126" s="335"/>
      <c r="AI126" s="335"/>
      <c r="AJ126" s="336"/>
      <c r="AK126" s="334"/>
      <c r="AL126" s="335"/>
      <c r="AM126" s="335"/>
      <c r="AN126" s="335"/>
      <c r="AO126" s="335"/>
      <c r="AP126" s="335"/>
      <c r="AQ126" s="335"/>
      <c r="AR126" s="335"/>
      <c r="AS126" s="335"/>
      <c r="AT126" s="335"/>
      <c r="AU126" s="335"/>
      <c r="AV126" s="335"/>
      <c r="AW126" s="335"/>
      <c r="AX126" s="335"/>
      <c r="AY126" s="336"/>
      <c r="AZ126" s="199"/>
      <c r="BA126" s="199"/>
      <c r="BB126" s="199"/>
      <c r="BC126" s="199"/>
    </row>
    <row r="127" spans="1:55" ht="15.75" x14ac:dyDescent="0.25">
      <c r="A127" s="1407"/>
      <c r="B127" s="329" t="s">
        <v>414</v>
      </c>
      <c r="C127" s="330"/>
      <c r="D127" s="331">
        <v>35</v>
      </c>
      <c r="E127" s="332"/>
      <c r="F127" s="332"/>
      <c r="G127" s="332">
        <v>5</v>
      </c>
      <c r="H127" s="332"/>
      <c r="I127" s="332"/>
      <c r="J127" s="332"/>
      <c r="K127" s="333"/>
      <c r="L127" s="334"/>
      <c r="M127" s="335"/>
      <c r="N127" s="335"/>
      <c r="O127" s="335"/>
      <c r="P127" s="335"/>
      <c r="Q127" s="335"/>
      <c r="R127" s="335"/>
      <c r="S127" s="335"/>
      <c r="T127" s="335"/>
      <c r="U127" s="336"/>
      <c r="V127" s="334"/>
      <c r="W127" s="335"/>
      <c r="X127" s="335"/>
      <c r="Y127" s="335"/>
      <c r="Z127" s="335"/>
      <c r="AA127" s="335"/>
      <c r="AB127" s="335"/>
      <c r="AC127" s="335"/>
      <c r="AD127" s="335"/>
      <c r="AE127" s="335"/>
      <c r="AF127" s="335"/>
      <c r="AG127" s="335"/>
      <c r="AH127" s="335"/>
      <c r="AI127" s="335"/>
      <c r="AJ127" s="336"/>
      <c r="AK127" s="334"/>
      <c r="AL127" s="335"/>
      <c r="AM127" s="335"/>
      <c r="AN127" s="335"/>
      <c r="AO127" s="335"/>
      <c r="AP127" s="335"/>
      <c r="AQ127" s="335"/>
      <c r="AR127" s="335"/>
      <c r="AS127" s="335"/>
      <c r="AT127" s="335"/>
      <c r="AU127" s="335"/>
      <c r="AV127" s="335"/>
      <c r="AW127" s="335"/>
      <c r="AX127" s="335"/>
      <c r="AY127" s="336"/>
      <c r="AZ127" s="199"/>
      <c r="BA127" s="199"/>
      <c r="BB127" s="199"/>
      <c r="BC127" s="199"/>
    </row>
    <row r="128" spans="1:55" ht="15.75" x14ac:dyDescent="0.25">
      <c r="A128" s="1407"/>
      <c r="B128" s="329" t="s">
        <v>415</v>
      </c>
      <c r="C128" s="330"/>
      <c r="D128" s="331">
        <v>30</v>
      </c>
      <c r="E128" s="332"/>
      <c r="F128" s="332"/>
      <c r="G128" s="332">
        <v>5</v>
      </c>
      <c r="H128" s="332"/>
      <c r="I128" s="332"/>
      <c r="J128" s="332"/>
      <c r="K128" s="333"/>
      <c r="L128" s="334"/>
      <c r="M128" s="335"/>
      <c r="N128" s="335"/>
      <c r="O128" s="335"/>
      <c r="P128" s="335"/>
      <c r="Q128" s="335"/>
      <c r="R128" s="335"/>
      <c r="S128" s="335"/>
      <c r="T128" s="335"/>
      <c r="U128" s="336"/>
      <c r="V128" s="334"/>
      <c r="W128" s="335"/>
      <c r="X128" s="335"/>
      <c r="Y128" s="335"/>
      <c r="Z128" s="335"/>
      <c r="AA128" s="335"/>
      <c r="AB128" s="335"/>
      <c r="AC128" s="335"/>
      <c r="AD128" s="335"/>
      <c r="AE128" s="335"/>
      <c r="AF128" s="335"/>
      <c r="AG128" s="335"/>
      <c r="AH128" s="335"/>
      <c r="AI128" s="335"/>
      <c r="AJ128" s="336"/>
      <c r="AK128" s="334"/>
      <c r="AL128" s="335"/>
      <c r="AM128" s="335"/>
      <c r="AN128" s="335"/>
      <c r="AO128" s="335"/>
      <c r="AP128" s="335"/>
      <c r="AQ128" s="335"/>
      <c r="AR128" s="335"/>
      <c r="AS128" s="335"/>
      <c r="AT128" s="335"/>
      <c r="AU128" s="335"/>
      <c r="AV128" s="335"/>
      <c r="AW128" s="335"/>
      <c r="AX128" s="335"/>
      <c r="AY128" s="336"/>
      <c r="AZ128" s="199"/>
      <c r="BA128" s="199"/>
      <c r="BB128" s="199"/>
      <c r="BC128" s="199"/>
    </row>
    <row r="129" spans="1:55" ht="15.75" x14ac:dyDescent="0.25">
      <c r="A129" s="1407"/>
      <c r="B129" s="329" t="s">
        <v>416</v>
      </c>
      <c r="C129" s="330"/>
      <c r="D129" s="331">
        <v>30</v>
      </c>
      <c r="E129" s="332"/>
      <c r="F129" s="332"/>
      <c r="G129" s="332">
        <v>5</v>
      </c>
      <c r="H129" s="332"/>
      <c r="I129" s="332">
        <f>IF(COUNTIF(skill_select, "*Research*")&gt;0, 5, 0)</f>
        <v>0</v>
      </c>
      <c r="J129" s="332"/>
      <c r="K129" s="333"/>
      <c r="L129" s="334"/>
      <c r="M129" s="335"/>
      <c r="N129" s="335"/>
      <c r="O129" s="335"/>
      <c r="P129" s="335"/>
      <c r="Q129" s="335"/>
      <c r="R129" s="335"/>
      <c r="S129" s="335"/>
      <c r="T129" s="335"/>
      <c r="U129" s="336"/>
      <c r="V129" s="334"/>
      <c r="W129" s="335"/>
      <c r="X129" s="335"/>
      <c r="Y129" s="335"/>
      <c r="Z129" s="335"/>
      <c r="AA129" s="335"/>
      <c r="AB129" s="335"/>
      <c r="AC129" s="335"/>
      <c r="AD129" s="335"/>
      <c r="AE129" s="335"/>
      <c r="AF129" s="335"/>
      <c r="AG129" s="335"/>
      <c r="AH129" s="335"/>
      <c r="AI129" s="335"/>
      <c r="AJ129" s="336"/>
      <c r="AK129" s="334"/>
      <c r="AL129" s="335"/>
      <c r="AM129" s="335"/>
      <c r="AN129" s="335"/>
      <c r="AO129" s="335"/>
      <c r="AP129" s="335"/>
      <c r="AQ129" s="335"/>
      <c r="AR129" s="335"/>
      <c r="AS129" s="335"/>
      <c r="AT129" s="335"/>
      <c r="AU129" s="335"/>
      <c r="AV129" s="335"/>
      <c r="AW129" s="335"/>
      <c r="AX129" s="335"/>
      <c r="AY129" s="336"/>
      <c r="AZ129" s="199"/>
      <c r="BA129" s="199"/>
      <c r="BB129" s="199"/>
      <c r="BC129" s="199"/>
    </row>
    <row r="130" spans="1:55" ht="15.75" x14ac:dyDescent="0.25">
      <c r="A130" s="1407"/>
      <c r="B130" s="329" t="s">
        <v>417</v>
      </c>
      <c r="C130" s="330"/>
      <c r="D130" s="331">
        <v>30</v>
      </c>
      <c r="E130" s="332"/>
      <c r="F130" s="332"/>
      <c r="G130" s="332">
        <v>5</v>
      </c>
      <c r="H130" s="332"/>
      <c r="I130" s="332"/>
      <c r="J130" s="332"/>
      <c r="K130" s="333"/>
      <c r="L130" s="334"/>
      <c r="M130" s="335"/>
      <c r="N130" s="335"/>
      <c r="O130" s="335"/>
      <c r="P130" s="335"/>
      <c r="Q130" s="335"/>
      <c r="R130" s="335"/>
      <c r="S130" s="335"/>
      <c r="T130" s="335"/>
      <c r="U130" s="336"/>
      <c r="V130" s="334"/>
      <c r="W130" s="335"/>
      <c r="X130" s="335"/>
      <c r="Y130" s="335"/>
      <c r="Z130" s="335"/>
      <c r="AA130" s="335"/>
      <c r="AB130" s="335"/>
      <c r="AC130" s="335"/>
      <c r="AD130" s="335"/>
      <c r="AE130" s="335"/>
      <c r="AF130" s="335"/>
      <c r="AG130" s="335"/>
      <c r="AH130" s="335"/>
      <c r="AI130" s="335"/>
      <c r="AJ130" s="336"/>
      <c r="AK130" s="334"/>
      <c r="AL130" s="335"/>
      <c r="AM130" s="335"/>
      <c r="AN130" s="335"/>
      <c r="AO130" s="335"/>
      <c r="AP130" s="335"/>
      <c r="AQ130" s="335"/>
      <c r="AR130" s="335"/>
      <c r="AS130" s="335"/>
      <c r="AT130" s="335"/>
      <c r="AU130" s="335"/>
      <c r="AV130" s="335"/>
      <c r="AW130" s="335"/>
      <c r="AX130" s="335"/>
      <c r="AY130" s="336"/>
      <c r="AZ130" s="199"/>
      <c r="BA130" s="199"/>
      <c r="BB130" s="199"/>
      <c r="BC130" s="199"/>
    </row>
    <row r="131" spans="1:55" ht="15.75" x14ac:dyDescent="0.25">
      <c r="A131" s="1407"/>
      <c r="B131" s="329" t="s">
        <v>418</v>
      </c>
      <c r="C131" s="330"/>
      <c r="D131" s="331">
        <v>30</v>
      </c>
      <c r="E131" s="332"/>
      <c r="F131" s="332"/>
      <c r="G131" s="332">
        <v>5</v>
      </c>
      <c r="H131" s="332"/>
      <c r="I131" s="332">
        <f>IF(COUNTIF(skill_select, "*Research*")&gt;0, 5, 0)</f>
        <v>0</v>
      </c>
      <c r="J131" s="332"/>
      <c r="K131" s="333"/>
      <c r="L131" s="334"/>
      <c r="M131" s="335"/>
      <c r="N131" s="335"/>
      <c r="O131" s="335"/>
      <c r="P131" s="335"/>
      <c r="Q131" s="335"/>
      <c r="R131" s="335"/>
      <c r="S131" s="335"/>
      <c r="T131" s="335"/>
      <c r="U131" s="336"/>
      <c r="V131" s="334"/>
      <c r="W131" s="335"/>
      <c r="X131" s="335"/>
      <c r="Y131" s="335"/>
      <c r="Z131" s="335"/>
      <c r="AA131" s="335"/>
      <c r="AB131" s="335"/>
      <c r="AC131" s="335"/>
      <c r="AD131" s="335"/>
      <c r="AE131" s="335"/>
      <c r="AF131" s="335"/>
      <c r="AG131" s="335"/>
      <c r="AH131" s="335"/>
      <c r="AI131" s="335"/>
      <c r="AJ131" s="336"/>
      <c r="AK131" s="334"/>
      <c r="AL131" s="335"/>
      <c r="AM131" s="335"/>
      <c r="AN131" s="335"/>
      <c r="AO131" s="335"/>
      <c r="AP131" s="335"/>
      <c r="AQ131" s="335"/>
      <c r="AR131" s="335"/>
      <c r="AS131" s="335"/>
      <c r="AT131" s="335"/>
      <c r="AU131" s="335"/>
      <c r="AV131" s="335"/>
      <c r="AW131" s="335"/>
      <c r="AX131" s="335"/>
      <c r="AY131" s="336"/>
      <c r="AZ131" s="199"/>
      <c r="BA131" s="199"/>
      <c r="BB131" s="199"/>
      <c r="BC131" s="199"/>
    </row>
    <row r="132" spans="1:55" ht="15.75" x14ac:dyDescent="0.25">
      <c r="A132" s="1407"/>
      <c r="B132" s="329" t="s">
        <v>419</v>
      </c>
      <c r="C132" s="330"/>
      <c r="D132" s="331">
        <v>30</v>
      </c>
      <c r="E132" s="332"/>
      <c r="F132" s="332"/>
      <c r="G132" s="332">
        <v>5</v>
      </c>
      <c r="H132" s="332"/>
      <c r="I132" s="332"/>
      <c r="J132" s="332"/>
      <c r="K132" s="333"/>
      <c r="L132" s="334"/>
      <c r="M132" s="335"/>
      <c r="N132" s="335"/>
      <c r="O132" s="335"/>
      <c r="P132" s="335"/>
      <c r="Q132" s="335"/>
      <c r="R132" s="335"/>
      <c r="S132" s="335"/>
      <c r="T132" s="335"/>
      <c r="U132" s="336"/>
      <c r="V132" s="334"/>
      <c r="W132" s="335"/>
      <c r="X132" s="335"/>
      <c r="Y132" s="335"/>
      <c r="Z132" s="335"/>
      <c r="AA132" s="335"/>
      <c r="AB132" s="335"/>
      <c r="AC132" s="335"/>
      <c r="AD132" s="335"/>
      <c r="AE132" s="335"/>
      <c r="AF132" s="335"/>
      <c r="AG132" s="335"/>
      <c r="AH132" s="335"/>
      <c r="AI132" s="335"/>
      <c r="AJ132" s="336"/>
      <c r="AK132" s="334"/>
      <c r="AL132" s="335"/>
      <c r="AM132" s="335"/>
      <c r="AN132" s="335"/>
      <c r="AO132" s="335"/>
      <c r="AP132" s="335"/>
      <c r="AQ132" s="335"/>
      <c r="AR132" s="335"/>
      <c r="AS132" s="335"/>
      <c r="AT132" s="335"/>
      <c r="AU132" s="335"/>
      <c r="AV132" s="335"/>
      <c r="AW132" s="335"/>
      <c r="AX132" s="335"/>
      <c r="AY132" s="336"/>
      <c r="AZ132" s="199"/>
      <c r="BA132" s="199"/>
      <c r="BB132" s="199"/>
      <c r="BC132" s="199"/>
    </row>
    <row r="133" spans="1:55" ht="15.75" x14ac:dyDescent="0.25">
      <c r="A133" s="1407"/>
      <c r="B133" s="329" t="s">
        <v>420</v>
      </c>
      <c r="C133" s="330"/>
      <c r="D133" s="331">
        <v>25</v>
      </c>
      <c r="E133" s="332"/>
      <c r="F133" s="332"/>
      <c r="G133" s="332">
        <v>5</v>
      </c>
      <c r="H133" s="332"/>
      <c r="I133" s="332"/>
      <c r="J133" s="332"/>
      <c r="K133" s="333"/>
      <c r="L133" s="334"/>
      <c r="M133" s="335"/>
      <c r="N133" s="335"/>
      <c r="O133" s="335"/>
      <c r="P133" s="335"/>
      <c r="Q133" s="335"/>
      <c r="R133" s="335"/>
      <c r="S133" s="335"/>
      <c r="T133" s="335"/>
      <c r="U133" s="336"/>
      <c r="V133" s="334"/>
      <c r="W133" s="335"/>
      <c r="X133" s="335"/>
      <c r="Y133" s="335"/>
      <c r="Z133" s="335"/>
      <c r="AA133" s="335"/>
      <c r="AB133" s="335"/>
      <c r="AC133" s="335"/>
      <c r="AD133" s="335"/>
      <c r="AE133" s="335"/>
      <c r="AF133" s="335"/>
      <c r="AG133" s="335"/>
      <c r="AH133" s="335"/>
      <c r="AI133" s="335"/>
      <c r="AJ133" s="336"/>
      <c r="AK133" s="334"/>
      <c r="AL133" s="335"/>
      <c r="AM133" s="335"/>
      <c r="AN133" s="335"/>
      <c r="AO133" s="335"/>
      <c r="AP133" s="335"/>
      <c r="AQ133" s="335"/>
      <c r="AR133" s="335"/>
      <c r="AS133" s="335"/>
      <c r="AT133" s="335"/>
      <c r="AU133" s="335"/>
      <c r="AV133" s="335"/>
      <c r="AW133" s="335"/>
      <c r="AX133" s="335"/>
      <c r="AY133" s="336"/>
      <c r="AZ133" s="199"/>
      <c r="BA133" s="199"/>
      <c r="BB133" s="199"/>
      <c r="BC133" s="199"/>
    </row>
    <row r="134" spans="1:55" ht="15.75" x14ac:dyDescent="0.25">
      <c r="A134" s="1407"/>
      <c r="B134" s="329" t="s">
        <v>430</v>
      </c>
      <c r="C134" s="330"/>
      <c r="D134" s="331">
        <v>30</v>
      </c>
      <c r="E134" s="332"/>
      <c r="F134" s="332"/>
      <c r="G134" s="332">
        <v>5</v>
      </c>
      <c r="H134" s="332"/>
      <c r="I134" s="332"/>
      <c r="J134" s="332"/>
      <c r="K134" s="333"/>
      <c r="L134" s="334"/>
      <c r="M134" s="335"/>
      <c r="N134" s="335"/>
      <c r="O134" s="335"/>
      <c r="P134" s="335"/>
      <c r="Q134" s="335"/>
      <c r="R134" s="335"/>
      <c r="S134" s="335"/>
      <c r="T134" s="335"/>
      <c r="U134" s="336"/>
      <c r="V134" s="334"/>
      <c r="W134" s="335"/>
      <c r="X134" s="335"/>
      <c r="Y134" s="335"/>
      <c r="Z134" s="335"/>
      <c r="AA134" s="335"/>
      <c r="AB134" s="335"/>
      <c r="AC134" s="335"/>
      <c r="AD134" s="335"/>
      <c r="AE134" s="335"/>
      <c r="AF134" s="335"/>
      <c r="AG134" s="335"/>
      <c r="AH134" s="335"/>
      <c r="AI134" s="335"/>
      <c r="AJ134" s="336"/>
      <c r="AK134" s="334"/>
      <c r="AL134" s="335"/>
      <c r="AM134" s="335"/>
      <c r="AN134" s="335"/>
      <c r="AO134" s="335"/>
      <c r="AP134" s="335"/>
      <c r="AQ134" s="335"/>
      <c r="AR134" s="335"/>
      <c r="AS134" s="335"/>
      <c r="AT134" s="335"/>
      <c r="AU134" s="335"/>
      <c r="AV134" s="335"/>
      <c r="AW134" s="335"/>
      <c r="AX134" s="335"/>
      <c r="AY134" s="336"/>
      <c r="AZ134" s="199"/>
      <c r="BA134" s="199"/>
      <c r="BB134" s="199"/>
      <c r="BC134" s="199"/>
    </row>
    <row r="135" spans="1:55" ht="15.75" x14ac:dyDescent="0.25">
      <c r="A135" s="1407"/>
      <c r="B135" s="329" t="s">
        <v>431</v>
      </c>
      <c r="C135" s="330"/>
      <c r="D135" s="331">
        <v>30</v>
      </c>
      <c r="E135" s="332"/>
      <c r="F135" s="332"/>
      <c r="G135" s="332">
        <v>5</v>
      </c>
      <c r="H135" s="332"/>
      <c r="I135" s="332"/>
      <c r="J135" s="332"/>
      <c r="K135" s="333"/>
      <c r="L135" s="334"/>
      <c r="M135" s="335"/>
      <c r="N135" s="335"/>
      <c r="O135" s="335"/>
      <c r="P135" s="335"/>
      <c r="Q135" s="335"/>
      <c r="R135" s="335"/>
      <c r="S135" s="335"/>
      <c r="T135" s="335"/>
      <c r="U135" s="336"/>
      <c r="V135" s="334"/>
      <c r="W135" s="335"/>
      <c r="X135" s="335"/>
      <c r="Y135" s="335"/>
      <c r="Z135" s="335"/>
      <c r="AA135" s="335"/>
      <c r="AB135" s="335"/>
      <c r="AC135" s="335"/>
      <c r="AD135" s="335"/>
      <c r="AE135" s="335"/>
      <c r="AF135" s="335"/>
      <c r="AG135" s="335"/>
      <c r="AH135" s="335"/>
      <c r="AI135" s="335"/>
      <c r="AJ135" s="336"/>
      <c r="AK135" s="334"/>
      <c r="AL135" s="335"/>
      <c r="AM135" s="335"/>
      <c r="AN135" s="335"/>
      <c r="AO135" s="335"/>
      <c r="AP135" s="335"/>
      <c r="AQ135" s="335"/>
      <c r="AR135" s="335"/>
      <c r="AS135" s="335"/>
      <c r="AT135" s="335"/>
      <c r="AU135" s="335"/>
      <c r="AV135" s="335"/>
      <c r="AW135" s="335"/>
      <c r="AX135" s="335"/>
      <c r="AY135" s="336"/>
      <c r="AZ135" s="199"/>
      <c r="BA135" s="199"/>
      <c r="BB135" s="199"/>
      <c r="BC135" s="199"/>
    </row>
    <row r="136" spans="1:55" ht="15.75" x14ac:dyDescent="0.25">
      <c r="A136" s="1407"/>
      <c r="B136" s="329" t="s">
        <v>432</v>
      </c>
      <c r="C136" s="330"/>
      <c r="D136" s="331">
        <v>30</v>
      </c>
      <c r="E136" s="332"/>
      <c r="F136" s="332"/>
      <c r="G136" s="332">
        <v>5</v>
      </c>
      <c r="H136" s="332"/>
      <c r="I136" s="332"/>
      <c r="J136" s="332"/>
      <c r="K136" s="333"/>
      <c r="L136" s="334"/>
      <c r="M136" s="335"/>
      <c r="N136" s="335"/>
      <c r="O136" s="335"/>
      <c r="P136" s="335"/>
      <c r="Q136" s="335"/>
      <c r="R136" s="335"/>
      <c r="S136" s="335"/>
      <c r="T136" s="335"/>
      <c r="U136" s="336"/>
      <c r="V136" s="334"/>
      <c r="W136" s="335"/>
      <c r="X136" s="335"/>
      <c r="Y136" s="335"/>
      <c r="Z136" s="335"/>
      <c r="AA136" s="335"/>
      <c r="AB136" s="335"/>
      <c r="AC136" s="335"/>
      <c r="AD136" s="335"/>
      <c r="AE136" s="335"/>
      <c r="AF136" s="335"/>
      <c r="AG136" s="335"/>
      <c r="AH136" s="335"/>
      <c r="AI136" s="335"/>
      <c r="AJ136" s="336"/>
      <c r="AK136" s="334"/>
      <c r="AL136" s="335"/>
      <c r="AM136" s="335"/>
      <c r="AN136" s="335"/>
      <c r="AO136" s="335"/>
      <c r="AP136" s="335"/>
      <c r="AQ136" s="335"/>
      <c r="AR136" s="335"/>
      <c r="AS136" s="335"/>
      <c r="AT136" s="335"/>
      <c r="AU136" s="335"/>
      <c r="AV136" s="335"/>
      <c r="AW136" s="335"/>
      <c r="AX136" s="335"/>
      <c r="AY136" s="336"/>
      <c r="AZ136" s="199"/>
      <c r="BA136" s="199"/>
      <c r="BB136" s="199"/>
      <c r="BC136" s="199"/>
    </row>
    <row r="137" spans="1:55" ht="15.75" x14ac:dyDescent="0.25">
      <c r="A137" s="1407"/>
      <c r="B137" s="329" t="s">
        <v>433</v>
      </c>
      <c r="C137" s="330"/>
      <c r="D137" s="331">
        <v>35</v>
      </c>
      <c r="E137" s="332"/>
      <c r="F137" s="332"/>
      <c r="G137" s="332">
        <v>5</v>
      </c>
      <c r="H137" s="332"/>
      <c r="I137" s="332"/>
      <c r="J137" s="332"/>
      <c r="K137" s="333"/>
      <c r="L137" s="334"/>
      <c r="M137" s="335"/>
      <c r="N137" s="335"/>
      <c r="O137" s="335"/>
      <c r="P137" s="335"/>
      <c r="Q137" s="335"/>
      <c r="R137" s="335"/>
      <c r="S137" s="335"/>
      <c r="T137" s="335"/>
      <c r="U137" s="336"/>
      <c r="V137" s="334"/>
      <c r="W137" s="335"/>
      <c r="X137" s="335"/>
      <c r="Y137" s="335"/>
      <c r="Z137" s="335"/>
      <c r="AA137" s="335"/>
      <c r="AB137" s="335"/>
      <c r="AC137" s="335"/>
      <c r="AD137" s="335"/>
      <c r="AE137" s="335"/>
      <c r="AF137" s="335"/>
      <c r="AG137" s="335"/>
      <c r="AH137" s="335"/>
      <c r="AI137" s="335"/>
      <c r="AJ137" s="336"/>
      <c r="AK137" s="334"/>
      <c r="AL137" s="335"/>
      <c r="AM137" s="335"/>
      <c r="AN137" s="335"/>
      <c r="AO137" s="335"/>
      <c r="AP137" s="335"/>
      <c r="AQ137" s="335"/>
      <c r="AR137" s="335"/>
      <c r="AS137" s="335"/>
      <c r="AT137" s="335"/>
      <c r="AU137" s="335"/>
      <c r="AV137" s="335"/>
      <c r="AW137" s="335"/>
      <c r="AX137" s="335"/>
      <c r="AY137" s="336"/>
      <c r="AZ137" s="199"/>
      <c r="BA137" s="199"/>
      <c r="BB137" s="199"/>
      <c r="BC137" s="199"/>
    </row>
    <row r="138" spans="1:55" ht="15.75" x14ac:dyDescent="0.25">
      <c r="A138" s="1407"/>
      <c r="B138" s="329" t="s">
        <v>434</v>
      </c>
      <c r="C138" s="330"/>
      <c r="D138" s="331">
        <v>30</v>
      </c>
      <c r="E138" s="332"/>
      <c r="F138" s="332"/>
      <c r="G138" s="332">
        <v>5</v>
      </c>
      <c r="H138" s="332"/>
      <c r="I138" s="332"/>
      <c r="J138" s="332"/>
      <c r="K138" s="333"/>
      <c r="L138" s="334"/>
      <c r="M138" s="335"/>
      <c r="N138" s="335"/>
      <c r="O138" s="335"/>
      <c r="P138" s="335"/>
      <c r="Q138" s="335"/>
      <c r="R138" s="335"/>
      <c r="S138" s="335"/>
      <c r="T138" s="335"/>
      <c r="U138" s="336"/>
      <c r="V138" s="334"/>
      <c r="W138" s="335"/>
      <c r="X138" s="335"/>
      <c r="Y138" s="335"/>
      <c r="Z138" s="335"/>
      <c r="AA138" s="335"/>
      <c r="AB138" s="335"/>
      <c r="AC138" s="335"/>
      <c r="AD138" s="335"/>
      <c r="AE138" s="335"/>
      <c r="AF138" s="335"/>
      <c r="AG138" s="335"/>
      <c r="AH138" s="335"/>
      <c r="AI138" s="335"/>
      <c r="AJ138" s="336"/>
      <c r="AK138" s="334"/>
      <c r="AL138" s="335"/>
      <c r="AM138" s="335"/>
      <c r="AN138" s="335"/>
      <c r="AO138" s="335"/>
      <c r="AP138" s="335"/>
      <c r="AQ138" s="335"/>
      <c r="AR138" s="335"/>
      <c r="AS138" s="335"/>
      <c r="AT138" s="335"/>
      <c r="AU138" s="335"/>
      <c r="AV138" s="335"/>
      <c r="AW138" s="335"/>
      <c r="AX138" s="335"/>
      <c r="AY138" s="336"/>
      <c r="AZ138" s="199"/>
      <c r="BA138" s="199"/>
      <c r="BB138" s="199"/>
      <c r="BC138" s="199"/>
    </row>
    <row r="139" spans="1:55" ht="15.75" x14ac:dyDescent="0.25">
      <c r="A139" s="1407"/>
      <c r="B139" s="329" t="s">
        <v>435</v>
      </c>
      <c r="C139" s="330"/>
      <c r="D139" s="331">
        <v>35</v>
      </c>
      <c r="E139" s="332">
        <v>20</v>
      </c>
      <c r="F139" s="332"/>
      <c r="G139" s="332">
        <v>5</v>
      </c>
      <c r="H139" s="332"/>
      <c r="I139" s="332"/>
      <c r="J139" s="332"/>
      <c r="K139" s="333"/>
      <c r="L139" s="334"/>
      <c r="M139" s="335"/>
      <c r="N139" s="335"/>
      <c r="O139" s="335"/>
      <c r="P139" s="335"/>
      <c r="Q139" s="335"/>
      <c r="R139" s="335"/>
      <c r="S139" s="335"/>
      <c r="T139" s="335"/>
      <c r="U139" s="336"/>
      <c r="V139" s="334"/>
      <c r="W139" s="335"/>
      <c r="X139" s="335"/>
      <c r="Y139" s="335"/>
      <c r="Z139" s="335"/>
      <c r="AA139" s="335"/>
      <c r="AB139" s="335"/>
      <c r="AC139" s="335"/>
      <c r="AD139" s="335"/>
      <c r="AE139" s="335"/>
      <c r="AF139" s="335"/>
      <c r="AG139" s="335"/>
      <c r="AH139" s="335"/>
      <c r="AI139" s="335"/>
      <c r="AJ139" s="336"/>
      <c r="AK139" s="334"/>
      <c r="AL139" s="335"/>
      <c r="AM139" s="335"/>
      <c r="AN139" s="335"/>
      <c r="AO139" s="335"/>
      <c r="AP139" s="335"/>
      <c r="AQ139" s="335"/>
      <c r="AR139" s="335"/>
      <c r="AS139" s="335"/>
      <c r="AT139" s="335"/>
      <c r="AU139" s="335"/>
      <c r="AV139" s="335"/>
      <c r="AW139" s="335"/>
      <c r="AX139" s="335"/>
      <c r="AY139" s="336"/>
      <c r="AZ139" s="199"/>
      <c r="BA139" s="199"/>
      <c r="BB139" s="199"/>
      <c r="BC139" s="199"/>
    </row>
    <row r="140" spans="1:55" ht="15.75" x14ac:dyDescent="0.25">
      <c r="A140" s="1407"/>
      <c r="B140" s="329" t="s">
        <v>436</v>
      </c>
      <c r="C140" s="330"/>
      <c r="D140" s="331">
        <v>30</v>
      </c>
      <c r="E140" s="332"/>
      <c r="F140" s="332"/>
      <c r="G140" s="332">
        <v>5</v>
      </c>
      <c r="H140" s="332"/>
      <c r="I140" s="332">
        <f>IF(COUNTIF(skill_select, "*Sculpting &amp; Whittling*")&gt;1, 10, 0)</f>
        <v>0</v>
      </c>
      <c r="J140" s="332"/>
      <c r="K140" s="333"/>
      <c r="L140" s="334"/>
      <c r="M140" s="335"/>
      <c r="N140" s="335"/>
      <c r="O140" s="335"/>
      <c r="P140" s="335"/>
      <c r="Q140" s="335"/>
      <c r="R140" s="335"/>
      <c r="S140" s="335"/>
      <c r="T140" s="335"/>
      <c r="U140" s="336"/>
      <c r="V140" s="334"/>
      <c r="W140" s="335"/>
      <c r="X140" s="335"/>
      <c r="Y140" s="335"/>
      <c r="Z140" s="335"/>
      <c r="AA140" s="335"/>
      <c r="AB140" s="335"/>
      <c r="AC140" s="335"/>
      <c r="AD140" s="335"/>
      <c r="AE140" s="335"/>
      <c r="AF140" s="335"/>
      <c r="AG140" s="335"/>
      <c r="AH140" s="335"/>
      <c r="AI140" s="335"/>
      <c r="AJ140" s="336"/>
      <c r="AK140" s="334"/>
      <c r="AL140" s="335"/>
      <c r="AM140" s="335"/>
      <c r="AN140" s="335"/>
      <c r="AO140" s="335"/>
      <c r="AP140" s="335"/>
      <c r="AQ140" s="335"/>
      <c r="AR140" s="335"/>
      <c r="AS140" s="335"/>
      <c r="AT140" s="335"/>
      <c r="AU140" s="335"/>
      <c r="AV140" s="335"/>
      <c r="AW140" s="335"/>
      <c r="AX140" s="335"/>
      <c r="AY140" s="336"/>
      <c r="AZ140" s="199"/>
      <c r="BA140" s="199"/>
      <c r="BB140" s="199"/>
      <c r="BC140" s="199"/>
    </row>
    <row r="141" spans="1:55" ht="15.75" x14ac:dyDescent="0.25">
      <c r="A141" s="1407"/>
      <c r="B141" s="329" t="str">
        <f>IF(K141&gt;0, "Seamanship", "(Needs Prerequisite)")</f>
        <v>(Needs Prerequisite)</v>
      </c>
      <c r="C141" s="330" t="s">
        <v>337</v>
      </c>
      <c r="D141" s="331">
        <v>22</v>
      </c>
      <c r="E141" s="332"/>
      <c r="F141" s="332"/>
      <c r="G141" s="332">
        <v>4</v>
      </c>
      <c r="H141" s="332"/>
      <c r="I141" s="332"/>
      <c r="J141" s="332"/>
      <c r="K141" s="333">
        <f>COUNTIF(skill_select, "*Sew*")</f>
        <v>0</v>
      </c>
      <c r="L141" s="334"/>
      <c r="M141" s="335"/>
      <c r="N141" s="335"/>
      <c r="O141" s="335"/>
      <c r="P141" s="335"/>
      <c r="Q141" s="335"/>
      <c r="R141" s="335"/>
      <c r="S141" s="335"/>
      <c r="T141" s="335"/>
      <c r="U141" s="336"/>
      <c r="V141" s="334"/>
      <c r="W141" s="335"/>
      <c r="X141" s="335"/>
      <c r="Y141" s="335"/>
      <c r="Z141" s="335"/>
      <c r="AA141" s="335"/>
      <c r="AB141" s="335"/>
      <c r="AC141" s="335"/>
      <c r="AD141" s="335"/>
      <c r="AE141" s="335"/>
      <c r="AF141" s="335"/>
      <c r="AG141" s="335"/>
      <c r="AH141" s="335"/>
      <c r="AI141" s="335"/>
      <c r="AJ141" s="336"/>
      <c r="AK141" s="334"/>
      <c r="AL141" s="335"/>
      <c r="AM141" s="335"/>
      <c r="AN141" s="335"/>
      <c r="AO141" s="335"/>
      <c r="AP141" s="335"/>
      <c r="AQ141" s="335"/>
      <c r="AR141" s="335"/>
      <c r="AS141" s="335"/>
      <c r="AT141" s="335"/>
      <c r="AU141" s="335"/>
      <c r="AV141" s="335"/>
      <c r="AW141" s="335"/>
      <c r="AX141" s="335"/>
      <c r="AY141" s="336"/>
      <c r="AZ141" s="199"/>
      <c r="BA141" s="199"/>
      <c r="BB141" s="199"/>
      <c r="BC141" s="199"/>
    </row>
    <row r="142" spans="1:55" ht="15.75" x14ac:dyDescent="0.25">
      <c r="A142" s="1407"/>
      <c r="B142" s="329" t="str">
        <f>IF(K142&gt;0, "Shipwright", "(Needs Prerequisite)")</f>
        <v>(Needs Prerequisite)</v>
      </c>
      <c r="C142" s="330" t="s">
        <v>468</v>
      </c>
      <c r="D142" s="331">
        <v>26</v>
      </c>
      <c r="E142" s="332"/>
      <c r="F142" s="332"/>
      <c r="G142" s="332">
        <v>4</v>
      </c>
      <c r="H142" s="332"/>
      <c r="I142" s="332"/>
      <c r="J142" s="332"/>
      <c r="K142" s="333">
        <f>COUNTIF(skill_select, "*Carpentry*")</f>
        <v>0</v>
      </c>
      <c r="L142" s="334"/>
      <c r="M142" s="335"/>
      <c r="N142" s="335"/>
      <c r="O142" s="335"/>
      <c r="P142" s="335"/>
      <c r="Q142" s="335"/>
      <c r="R142" s="335"/>
      <c r="S142" s="335"/>
      <c r="T142" s="335"/>
      <c r="U142" s="336"/>
      <c r="V142" s="334"/>
      <c r="W142" s="335"/>
      <c r="X142" s="335"/>
      <c r="Y142" s="335"/>
      <c r="Z142" s="335"/>
      <c r="AA142" s="335"/>
      <c r="AB142" s="335"/>
      <c r="AC142" s="335"/>
      <c r="AD142" s="335"/>
      <c r="AE142" s="335"/>
      <c r="AF142" s="335"/>
      <c r="AG142" s="335"/>
      <c r="AH142" s="335"/>
      <c r="AI142" s="335"/>
      <c r="AJ142" s="336"/>
      <c r="AK142" s="334"/>
      <c r="AL142" s="335"/>
      <c r="AM142" s="335"/>
      <c r="AN142" s="335"/>
      <c r="AO142" s="335"/>
      <c r="AP142" s="335"/>
      <c r="AQ142" s="335"/>
      <c r="AR142" s="335"/>
      <c r="AS142" s="335"/>
      <c r="AT142" s="335"/>
      <c r="AU142" s="335"/>
      <c r="AV142" s="335"/>
      <c r="AW142" s="335"/>
      <c r="AX142" s="335"/>
      <c r="AY142" s="336"/>
      <c r="AZ142" s="199"/>
      <c r="BA142" s="199"/>
      <c r="BB142" s="199"/>
      <c r="BC142" s="199"/>
    </row>
    <row r="143" spans="1:55" ht="15.75" x14ac:dyDescent="0.25">
      <c r="A143" s="1407"/>
      <c r="B143" s="329" t="str">
        <f>IF(K143&gt;0, "Stage Carpentry, Lighting, and Assembly", "(Needs Prerequisite)")</f>
        <v>(Needs Prerequisite)</v>
      </c>
      <c r="C143" s="330" t="s">
        <v>468</v>
      </c>
      <c r="D143" s="331">
        <v>20</v>
      </c>
      <c r="E143" s="332"/>
      <c r="F143" s="332"/>
      <c r="G143" s="332">
        <v>3</v>
      </c>
      <c r="H143" s="332"/>
      <c r="I143" s="332"/>
      <c r="J143" s="332"/>
      <c r="K143" s="333">
        <f>COUNTIF(skill_select, "*Carpentry*")</f>
        <v>0</v>
      </c>
      <c r="L143" s="334"/>
      <c r="M143" s="335"/>
      <c r="N143" s="335"/>
      <c r="O143" s="335"/>
      <c r="P143" s="335"/>
      <c r="Q143" s="335"/>
      <c r="R143" s="335"/>
      <c r="S143" s="335"/>
      <c r="T143" s="335"/>
      <c r="U143" s="336"/>
      <c r="V143" s="334"/>
      <c r="W143" s="335"/>
      <c r="X143" s="335"/>
      <c r="Y143" s="335"/>
      <c r="Z143" s="335"/>
      <c r="AA143" s="335"/>
      <c r="AB143" s="335"/>
      <c r="AC143" s="335"/>
      <c r="AD143" s="335"/>
      <c r="AE143" s="335"/>
      <c r="AF143" s="335"/>
      <c r="AG143" s="335"/>
      <c r="AH143" s="335"/>
      <c r="AI143" s="335"/>
      <c r="AJ143" s="336"/>
      <c r="AK143" s="334"/>
      <c r="AL143" s="335"/>
      <c r="AM143" s="335"/>
      <c r="AN143" s="335"/>
      <c r="AO143" s="335"/>
      <c r="AP143" s="335"/>
      <c r="AQ143" s="335"/>
      <c r="AR143" s="335"/>
      <c r="AS143" s="335"/>
      <c r="AT143" s="335"/>
      <c r="AU143" s="335"/>
      <c r="AV143" s="335"/>
      <c r="AW143" s="335"/>
      <c r="AX143" s="335"/>
      <c r="AY143" s="336"/>
      <c r="AZ143" s="199"/>
      <c r="BA143" s="199"/>
      <c r="BB143" s="199"/>
      <c r="BC143" s="199"/>
    </row>
    <row r="144" spans="1:55" ht="15.75" x14ac:dyDescent="0.25">
      <c r="A144" s="1407"/>
      <c r="B144" s="329" t="s">
        <v>437</v>
      </c>
      <c r="C144" s="330"/>
      <c r="D144" s="331">
        <v>35</v>
      </c>
      <c r="E144" s="332"/>
      <c r="F144" s="332"/>
      <c r="G144" s="332">
        <v>5</v>
      </c>
      <c r="H144" s="332"/>
      <c r="I144" s="332"/>
      <c r="J144" s="332"/>
      <c r="K144" s="333"/>
      <c r="L144" s="334"/>
      <c r="M144" s="335"/>
      <c r="N144" s="335"/>
      <c r="O144" s="335"/>
      <c r="P144" s="335"/>
      <c r="Q144" s="335"/>
      <c r="R144" s="335"/>
      <c r="S144" s="335"/>
      <c r="T144" s="335"/>
      <c r="U144" s="336"/>
      <c r="V144" s="334"/>
      <c r="W144" s="335"/>
      <c r="X144" s="335"/>
      <c r="Y144" s="335"/>
      <c r="Z144" s="335"/>
      <c r="AA144" s="335"/>
      <c r="AB144" s="335"/>
      <c r="AC144" s="335"/>
      <c r="AD144" s="335"/>
      <c r="AE144" s="335"/>
      <c r="AF144" s="335"/>
      <c r="AG144" s="335"/>
      <c r="AH144" s="335"/>
      <c r="AI144" s="335"/>
      <c r="AJ144" s="336"/>
      <c r="AK144" s="334"/>
      <c r="AL144" s="335"/>
      <c r="AM144" s="335"/>
      <c r="AN144" s="335"/>
      <c r="AO144" s="335"/>
      <c r="AP144" s="335"/>
      <c r="AQ144" s="335"/>
      <c r="AR144" s="335"/>
      <c r="AS144" s="335"/>
      <c r="AT144" s="335"/>
      <c r="AU144" s="335"/>
      <c r="AV144" s="335"/>
      <c r="AW144" s="335"/>
      <c r="AX144" s="335"/>
      <c r="AY144" s="336"/>
      <c r="AZ144" s="199"/>
      <c r="BA144" s="199"/>
      <c r="BB144" s="199"/>
      <c r="BC144" s="199"/>
    </row>
    <row r="145" spans="1:55" ht="16.5" thickBot="1" x14ac:dyDescent="0.3">
      <c r="A145" s="1413"/>
      <c r="B145" s="337" t="s">
        <v>333</v>
      </c>
      <c r="C145" s="338"/>
      <c r="D145" s="339">
        <v>20</v>
      </c>
      <c r="E145" s="340"/>
      <c r="F145" s="340"/>
      <c r="G145" s="340">
        <v>5</v>
      </c>
      <c r="H145" s="340"/>
      <c r="I145" s="340"/>
      <c r="J145" s="340"/>
      <c r="K145" s="341"/>
      <c r="L145" s="342"/>
      <c r="M145" s="343"/>
      <c r="N145" s="343"/>
      <c r="O145" s="343"/>
      <c r="P145" s="343"/>
      <c r="Q145" s="343"/>
      <c r="R145" s="343"/>
      <c r="S145" s="343"/>
      <c r="T145" s="343"/>
      <c r="U145" s="344"/>
      <c r="V145" s="342"/>
      <c r="W145" s="343"/>
      <c r="X145" s="343"/>
      <c r="Y145" s="343"/>
      <c r="Z145" s="343"/>
      <c r="AA145" s="343"/>
      <c r="AB145" s="343"/>
      <c r="AC145" s="343"/>
      <c r="AD145" s="343"/>
      <c r="AE145" s="343"/>
      <c r="AF145" s="343"/>
      <c r="AG145" s="343"/>
      <c r="AH145" s="343"/>
      <c r="AI145" s="343"/>
      <c r="AJ145" s="344"/>
      <c r="AK145" s="342"/>
      <c r="AL145" s="343"/>
      <c r="AM145" s="343"/>
      <c r="AN145" s="343"/>
      <c r="AO145" s="343"/>
      <c r="AP145" s="343"/>
      <c r="AQ145" s="343"/>
      <c r="AR145" s="343"/>
      <c r="AS145" s="343"/>
      <c r="AT145" s="343"/>
      <c r="AU145" s="343"/>
      <c r="AV145" s="343"/>
      <c r="AW145" s="343"/>
      <c r="AX145" s="343"/>
      <c r="AY145" s="344"/>
      <c r="AZ145" s="199"/>
      <c r="BA145" s="199"/>
      <c r="BB145" s="199"/>
      <c r="BC145" s="199"/>
    </row>
    <row r="146" spans="1:55" ht="15.75" x14ac:dyDescent="0.25">
      <c r="A146" s="1414" t="s">
        <v>439</v>
      </c>
      <c r="B146" s="319" t="s">
        <v>438</v>
      </c>
      <c r="C146" s="320"/>
      <c r="D146" s="321">
        <v>20</v>
      </c>
      <c r="E146" s="322"/>
      <c r="F146" s="322"/>
      <c r="G146" s="322">
        <v>5</v>
      </c>
      <c r="H146" s="322"/>
      <c r="I146" s="322"/>
      <c r="J146" s="322"/>
      <c r="K146" s="323"/>
      <c r="L146" s="324"/>
      <c r="M146" s="325"/>
      <c r="N146" s="325"/>
      <c r="O146" s="325"/>
      <c r="P146" s="325"/>
      <c r="Q146" s="325"/>
      <c r="R146" s="325"/>
      <c r="S146" s="325"/>
      <c r="T146" s="325"/>
      <c r="U146" s="326"/>
      <c r="V146" s="324"/>
      <c r="W146" s="325"/>
      <c r="X146" s="325"/>
      <c r="Y146" s="325"/>
      <c r="Z146" s="325"/>
      <c r="AA146" s="325"/>
      <c r="AB146" s="325"/>
      <c r="AC146" s="325"/>
      <c r="AD146" s="325"/>
      <c r="AE146" s="325"/>
      <c r="AF146" s="325"/>
      <c r="AG146" s="325"/>
      <c r="AH146" s="325"/>
      <c r="AI146" s="325"/>
      <c r="AJ146" s="326"/>
      <c r="AK146" s="324"/>
      <c r="AL146" s="325"/>
      <c r="AM146" s="325"/>
      <c r="AN146" s="325"/>
      <c r="AO146" s="325"/>
      <c r="AP146" s="325"/>
      <c r="AQ146" s="325"/>
      <c r="AR146" s="325"/>
      <c r="AS146" s="325"/>
      <c r="AT146" s="325"/>
      <c r="AU146" s="325"/>
      <c r="AV146" s="325"/>
      <c r="AW146" s="325"/>
      <c r="AX146" s="325"/>
      <c r="AY146" s="326"/>
      <c r="AZ146" s="199"/>
      <c r="BA146" s="199"/>
      <c r="BB146" s="199"/>
      <c r="BC146" s="199"/>
    </row>
    <row r="147" spans="1:55" ht="15.75" x14ac:dyDescent="0.25">
      <c r="A147" s="1415"/>
      <c r="B147" s="329" t="s">
        <v>440</v>
      </c>
      <c r="C147" s="330"/>
      <c r="D147" s="331">
        <v>20</v>
      </c>
      <c r="E147" s="332"/>
      <c r="F147" s="332"/>
      <c r="G147" s="332">
        <v>5</v>
      </c>
      <c r="H147" s="332"/>
      <c r="I147" s="332"/>
      <c r="J147" s="332"/>
      <c r="K147" s="333"/>
      <c r="L147" s="334"/>
      <c r="M147" s="335"/>
      <c r="N147" s="335"/>
      <c r="O147" s="335"/>
      <c r="P147" s="335"/>
      <c r="Q147" s="335"/>
      <c r="R147" s="335"/>
      <c r="S147" s="335"/>
      <c r="T147" s="335"/>
      <c r="U147" s="336"/>
      <c r="V147" s="334"/>
      <c r="W147" s="335"/>
      <c r="X147" s="335"/>
      <c r="Y147" s="335"/>
      <c r="Z147" s="335"/>
      <c r="AA147" s="335"/>
      <c r="AB147" s="335"/>
      <c r="AC147" s="335"/>
      <c r="AD147" s="335"/>
      <c r="AE147" s="335"/>
      <c r="AF147" s="335"/>
      <c r="AG147" s="335"/>
      <c r="AH147" s="335"/>
      <c r="AI147" s="335"/>
      <c r="AJ147" s="336"/>
      <c r="AK147" s="334"/>
      <c r="AL147" s="335"/>
      <c r="AM147" s="335"/>
      <c r="AN147" s="335"/>
      <c r="AO147" s="335"/>
      <c r="AP147" s="335"/>
      <c r="AQ147" s="335"/>
      <c r="AR147" s="335"/>
      <c r="AS147" s="335"/>
      <c r="AT147" s="335"/>
      <c r="AU147" s="335"/>
      <c r="AV147" s="335"/>
      <c r="AW147" s="335"/>
      <c r="AX147" s="335"/>
      <c r="AY147" s="336"/>
      <c r="AZ147" s="199"/>
      <c r="BA147" s="199"/>
      <c r="BB147" s="199"/>
      <c r="BC147" s="199"/>
    </row>
    <row r="148" spans="1:55" ht="15.75" x14ac:dyDescent="0.25">
      <c r="A148" s="1415"/>
      <c r="B148" s="329" t="str">
        <f>IF(K148&gt;0, "Astrology", "(Needs Prerequisite)")</f>
        <v>(Needs Prerequisite)</v>
      </c>
      <c r="C148" s="330" t="s">
        <v>649</v>
      </c>
      <c r="D148" s="331">
        <v>15</v>
      </c>
      <c r="E148" s="332"/>
      <c r="F148" s="332"/>
      <c r="G148" s="332">
        <v>3</v>
      </c>
      <c r="H148" s="332"/>
      <c r="I148" s="332"/>
      <c r="J148" s="332"/>
      <c r="K148" s="333">
        <f>IF(AND(COUNTIF(skill_select, "*Mathematics*"), COUNTIF(skill_select, "*Literacy*"))=FALSE, 0, 1)</f>
        <v>0</v>
      </c>
      <c r="L148" s="334"/>
      <c r="M148" s="335"/>
      <c r="N148" s="335"/>
      <c r="O148" s="335"/>
      <c r="P148" s="335"/>
      <c r="Q148" s="335"/>
      <c r="R148" s="335"/>
      <c r="S148" s="335"/>
      <c r="T148" s="335"/>
      <c r="U148" s="336"/>
      <c r="V148" s="334"/>
      <c r="W148" s="335"/>
      <c r="X148" s="335"/>
      <c r="Y148" s="335"/>
      <c r="Z148" s="335"/>
      <c r="AA148" s="335"/>
      <c r="AB148" s="335"/>
      <c r="AC148" s="335"/>
      <c r="AD148" s="335"/>
      <c r="AE148" s="335"/>
      <c r="AF148" s="335"/>
      <c r="AG148" s="335"/>
      <c r="AH148" s="335"/>
      <c r="AI148" s="335"/>
      <c r="AJ148" s="336"/>
      <c r="AK148" s="334"/>
      <c r="AL148" s="335"/>
      <c r="AM148" s="335"/>
      <c r="AN148" s="335"/>
      <c r="AO148" s="335"/>
      <c r="AP148" s="335"/>
      <c r="AQ148" s="335"/>
      <c r="AR148" s="335"/>
      <c r="AS148" s="335"/>
      <c r="AT148" s="335"/>
      <c r="AU148" s="335"/>
      <c r="AV148" s="335"/>
      <c r="AW148" s="335"/>
      <c r="AX148" s="335"/>
      <c r="AY148" s="336"/>
      <c r="AZ148" s="199"/>
      <c r="BA148" s="199"/>
      <c r="BB148" s="199"/>
      <c r="BC148" s="199"/>
    </row>
    <row r="149" spans="1:55" ht="15.75" x14ac:dyDescent="0.25">
      <c r="A149" s="1415"/>
      <c r="B149" s="329" t="str">
        <f>IF(K149&gt;0, "Astronomy &amp; Navigation", "(Needs Prerequisite)")</f>
        <v>(Needs Prerequisite)</v>
      </c>
      <c r="C149" s="330" t="s">
        <v>649</v>
      </c>
      <c r="D149" s="331">
        <v>30</v>
      </c>
      <c r="E149" s="332"/>
      <c r="F149" s="332"/>
      <c r="G149" s="332">
        <v>5</v>
      </c>
      <c r="H149" s="332"/>
      <c r="I149" s="332">
        <f>IF(COUNTIF(skill_select, "*Astrology*")&gt;0, 5, 0)</f>
        <v>0</v>
      </c>
      <c r="J149" s="332"/>
      <c r="K149" s="333">
        <f>IF(AND(COUNTIF(skill_select, "*Mathematics*"), COUNTIF(skill_select, "*Literacy*"))=FALSE, 0, 1)</f>
        <v>0</v>
      </c>
      <c r="L149" s="334"/>
      <c r="M149" s="335"/>
      <c r="N149" s="335"/>
      <c r="O149" s="335"/>
      <c r="P149" s="335"/>
      <c r="Q149" s="335"/>
      <c r="R149" s="335"/>
      <c r="S149" s="335"/>
      <c r="T149" s="335"/>
      <c r="U149" s="336"/>
      <c r="V149" s="334"/>
      <c r="W149" s="335"/>
      <c r="X149" s="335"/>
      <c r="Y149" s="335"/>
      <c r="Z149" s="335"/>
      <c r="AA149" s="335"/>
      <c r="AB149" s="335"/>
      <c r="AC149" s="335"/>
      <c r="AD149" s="335"/>
      <c r="AE149" s="335"/>
      <c r="AF149" s="335"/>
      <c r="AG149" s="335"/>
      <c r="AH149" s="335"/>
      <c r="AI149" s="335"/>
      <c r="AJ149" s="336"/>
      <c r="AK149" s="334"/>
      <c r="AL149" s="335"/>
      <c r="AM149" s="335"/>
      <c r="AN149" s="335"/>
      <c r="AO149" s="335"/>
      <c r="AP149" s="335"/>
      <c r="AQ149" s="335"/>
      <c r="AR149" s="335"/>
      <c r="AS149" s="335"/>
      <c r="AT149" s="335"/>
      <c r="AU149" s="335"/>
      <c r="AV149" s="335"/>
      <c r="AW149" s="335"/>
      <c r="AX149" s="335"/>
      <c r="AY149" s="336"/>
      <c r="AZ149" s="199"/>
      <c r="BA149" s="199"/>
      <c r="BB149" s="199"/>
      <c r="BC149" s="199"/>
    </row>
    <row r="150" spans="1:55" ht="15.75" x14ac:dyDescent="0.25">
      <c r="A150" s="1415"/>
      <c r="B150" s="329" t="s">
        <v>357</v>
      </c>
      <c r="C150" s="330"/>
      <c r="D150" s="331">
        <v>30</v>
      </c>
      <c r="E150" s="332"/>
      <c r="F150" s="332"/>
      <c r="G150" s="332">
        <v>5</v>
      </c>
      <c r="H150" s="332"/>
      <c r="I150" s="332"/>
      <c r="J150" s="332"/>
      <c r="K150" s="333"/>
      <c r="L150" s="334"/>
      <c r="M150" s="335"/>
      <c r="N150" s="335"/>
      <c r="O150" s="335"/>
      <c r="P150" s="335"/>
      <c r="Q150" s="335"/>
      <c r="R150" s="335"/>
      <c r="S150" s="335"/>
      <c r="T150" s="335"/>
      <c r="U150" s="336"/>
      <c r="V150" s="334"/>
      <c r="W150" s="335"/>
      <c r="X150" s="335"/>
      <c r="Y150" s="335"/>
      <c r="Z150" s="335"/>
      <c r="AA150" s="335"/>
      <c r="AB150" s="335"/>
      <c r="AC150" s="335"/>
      <c r="AD150" s="335"/>
      <c r="AE150" s="335"/>
      <c r="AF150" s="335"/>
      <c r="AG150" s="335"/>
      <c r="AH150" s="335"/>
      <c r="AI150" s="335"/>
      <c r="AJ150" s="336"/>
      <c r="AK150" s="334"/>
      <c r="AL150" s="335"/>
      <c r="AM150" s="335"/>
      <c r="AN150" s="335"/>
      <c r="AO150" s="335"/>
      <c r="AP150" s="335"/>
      <c r="AQ150" s="335"/>
      <c r="AR150" s="335"/>
      <c r="AS150" s="335"/>
      <c r="AT150" s="335"/>
      <c r="AU150" s="335"/>
      <c r="AV150" s="335"/>
      <c r="AW150" s="335"/>
      <c r="AX150" s="335"/>
      <c r="AY150" s="336"/>
      <c r="AZ150" s="199"/>
      <c r="BA150" s="199"/>
      <c r="BB150" s="199"/>
      <c r="BC150" s="199"/>
    </row>
    <row r="151" spans="1:55" ht="15.75" x14ac:dyDescent="0.25">
      <c r="A151" s="1415"/>
      <c r="B151" s="329" t="s">
        <v>441</v>
      </c>
      <c r="C151" s="330"/>
      <c r="D151" s="331">
        <v>25</v>
      </c>
      <c r="E151" s="332"/>
      <c r="F151" s="332"/>
      <c r="G151" s="332">
        <v>5</v>
      </c>
      <c r="H151" s="332"/>
      <c r="I151" s="332">
        <f>IF(COUNTIF(skill_select, "*Lore: Farm*")&gt;0, 2, 0)</f>
        <v>0</v>
      </c>
      <c r="J151" s="332"/>
      <c r="K151" s="333"/>
      <c r="L151" s="334"/>
      <c r="M151" s="335"/>
      <c r="N151" s="335"/>
      <c r="O151" s="335"/>
      <c r="P151" s="335"/>
      <c r="Q151" s="335"/>
      <c r="R151" s="335"/>
      <c r="S151" s="335"/>
      <c r="T151" s="335"/>
      <c r="U151" s="336"/>
      <c r="V151" s="334"/>
      <c r="W151" s="335"/>
      <c r="X151" s="335"/>
      <c r="Y151" s="335"/>
      <c r="Z151" s="335"/>
      <c r="AA151" s="335"/>
      <c r="AB151" s="335"/>
      <c r="AC151" s="335"/>
      <c r="AD151" s="335"/>
      <c r="AE151" s="335"/>
      <c r="AF151" s="335"/>
      <c r="AG151" s="335"/>
      <c r="AH151" s="335"/>
      <c r="AI151" s="335"/>
      <c r="AJ151" s="336"/>
      <c r="AK151" s="334"/>
      <c r="AL151" s="335"/>
      <c r="AM151" s="335"/>
      <c r="AN151" s="335"/>
      <c r="AO151" s="335"/>
      <c r="AP151" s="335"/>
      <c r="AQ151" s="335"/>
      <c r="AR151" s="335"/>
      <c r="AS151" s="335"/>
      <c r="AT151" s="335"/>
      <c r="AU151" s="335"/>
      <c r="AV151" s="335"/>
      <c r="AW151" s="335"/>
      <c r="AX151" s="335"/>
      <c r="AY151" s="336"/>
      <c r="AZ151" s="199"/>
      <c r="BA151" s="199"/>
      <c r="BB151" s="199"/>
      <c r="BC151" s="199"/>
    </row>
    <row r="152" spans="1:55" ht="15.75" x14ac:dyDescent="0.25">
      <c r="A152" s="1415"/>
      <c r="B152" s="329" t="s">
        <v>375</v>
      </c>
      <c r="C152" s="330"/>
      <c r="D152" s="331">
        <v>27</v>
      </c>
      <c r="E152" s="332"/>
      <c r="F152" s="332"/>
      <c r="G152" s="332">
        <v>4</v>
      </c>
      <c r="H152" s="332"/>
      <c r="I152" s="332"/>
      <c r="J152" s="332"/>
      <c r="K152" s="333"/>
      <c r="L152" s="334"/>
      <c r="M152" s="335"/>
      <c r="N152" s="335"/>
      <c r="O152" s="335"/>
      <c r="P152" s="335"/>
      <c r="Q152" s="335"/>
      <c r="R152" s="335"/>
      <c r="S152" s="335"/>
      <c r="T152" s="335"/>
      <c r="U152" s="336"/>
      <c r="V152" s="334"/>
      <c r="W152" s="335"/>
      <c r="X152" s="335"/>
      <c r="Y152" s="335"/>
      <c r="Z152" s="335"/>
      <c r="AA152" s="335"/>
      <c r="AB152" s="335"/>
      <c r="AC152" s="335"/>
      <c r="AD152" s="335"/>
      <c r="AE152" s="335"/>
      <c r="AF152" s="335"/>
      <c r="AG152" s="335"/>
      <c r="AH152" s="335"/>
      <c r="AI152" s="335"/>
      <c r="AJ152" s="336"/>
      <c r="AK152" s="334"/>
      <c r="AL152" s="335"/>
      <c r="AM152" s="335"/>
      <c r="AN152" s="335"/>
      <c r="AO152" s="335"/>
      <c r="AP152" s="335"/>
      <c r="AQ152" s="335"/>
      <c r="AR152" s="335"/>
      <c r="AS152" s="335"/>
      <c r="AT152" s="335"/>
      <c r="AU152" s="335"/>
      <c r="AV152" s="335"/>
      <c r="AW152" s="335"/>
      <c r="AX152" s="335"/>
      <c r="AY152" s="336"/>
      <c r="AZ152" s="199"/>
      <c r="BA152" s="199"/>
      <c r="BB152" s="199"/>
      <c r="BC152" s="199"/>
    </row>
    <row r="153" spans="1:55" ht="15.75" x14ac:dyDescent="0.25">
      <c r="A153" s="1415"/>
      <c r="B153" s="329" t="s">
        <v>442</v>
      </c>
      <c r="C153" s="330"/>
      <c r="D153" s="331">
        <v>45</v>
      </c>
      <c r="E153" s="332"/>
      <c r="F153" s="332"/>
      <c r="G153" s="332">
        <v>5</v>
      </c>
      <c r="H153" s="332"/>
      <c r="I153" s="332">
        <f>IF(COUNTIF(skill_select, "*Astrology*")&gt;0, 5, 0)</f>
        <v>0</v>
      </c>
      <c r="J153" s="332"/>
      <c r="K153" s="333"/>
      <c r="L153" s="334"/>
      <c r="M153" s="335"/>
      <c r="N153" s="335"/>
      <c r="O153" s="335"/>
      <c r="P153" s="335"/>
      <c r="Q153" s="335"/>
      <c r="R153" s="335"/>
      <c r="S153" s="335"/>
      <c r="T153" s="335"/>
      <c r="U153" s="336"/>
      <c r="V153" s="334"/>
      <c r="W153" s="335"/>
      <c r="X153" s="335"/>
      <c r="Y153" s="335"/>
      <c r="Z153" s="335"/>
      <c r="AA153" s="335"/>
      <c r="AB153" s="335"/>
      <c r="AC153" s="335"/>
      <c r="AD153" s="335"/>
      <c r="AE153" s="335"/>
      <c r="AF153" s="335"/>
      <c r="AG153" s="335"/>
      <c r="AH153" s="335"/>
      <c r="AI153" s="335"/>
      <c r="AJ153" s="336"/>
      <c r="AK153" s="334"/>
      <c r="AL153" s="335"/>
      <c r="AM153" s="335"/>
      <c r="AN153" s="335"/>
      <c r="AO153" s="335"/>
      <c r="AP153" s="335"/>
      <c r="AQ153" s="335"/>
      <c r="AR153" s="335"/>
      <c r="AS153" s="335"/>
      <c r="AT153" s="335"/>
      <c r="AU153" s="335"/>
      <c r="AV153" s="335"/>
      <c r="AW153" s="335"/>
      <c r="AX153" s="335"/>
      <c r="AY153" s="336"/>
      <c r="AZ153" s="199"/>
      <c r="BA153" s="199"/>
      <c r="BB153" s="199"/>
      <c r="BC153" s="199"/>
    </row>
    <row r="154" spans="1:55" ht="16.5" thickBot="1" x14ac:dyDescent="0.3">
      <c r="A154" s="1416"/>
      <c r="B154" s="358" t="s">
        <v>443</v>
      </c>
      <c r="C154" s="354"/>
      <c r="D154" s="359">
        <v>45</v>
      </c>
      <c r="E154" s="360"/>
      <c r="F154" s="360"/>
      <c r="G154" s="360">
        <v>5</v>
      </c>
      <c r="H154" s="360"/>
      <c r="I154" s="360">
        <f>IF(COUNTIF(skill_select, "*Astrology*")&gt;0, 5, 0)</f>
        <v>0</v>
      </c>
      <c r="J154" s="360"/>
      <c r="K154" s="361"/>
      <c r="L154" s="345"/>
      <c r="M154" s="346"/>
      <c r="N154" s="346"/>
      <c r="O154" s="346"/>
      <c r="P154" s="346"/>
      <c r="Q154" s="346"/>
      <c r="R154" s="346"/>
      <c r="S154" s="346"/>
      <c r="T154" s="346"/>
      <c r="U154" s="347"/>
      <c r="V154" s="345"/>
      <c r="W154" s="346"/>
      <c r="X154" s="346"/>
      <c r="Y154" s="346"/>
      <c r="Z154" s="346"/>
      <c r="AA154" s="346"/>
      <c r="AB154" s="346"/>
      <c r="AC154" s="346"/>
      <c r="AD154" s="346"/>
      <c r="AE154" s="346"/>
      <c r="AF154" s="346"/>
      <c r="AG154" s="346"/>
      <c r="AH154" s="346"/>
      <c r="AI154" s="346"/>
      <c r="AJ154" s="347"/>
      <c r="AK154" s="345"/>
      <c r="AL154" s="346"/>
      <c r="AM154" s="346"/>
      <c r="AN154" s="346"/>
      <c r="AO154" s="346"/>
      <c r="AP154" s="346"/>
      <c r="AQ154" s="346"/>
      <c r="AR154" s="346"/>
      <c r="AS154" s="346"/>
      <c r="AT154" s="346"/>
      <c r="AU154" s="346"/>
      <c r="AV154" s="346"/>
      <c r="AW154" s="346"/>
      <c r="AX154" s="346"/>
      <c r="AY154" s="347"/>
      <c r="AZ154" s="199"/>
      <c r="BA154" s="199"/>
      <c r="BB154" s="199"/>
      <c r="BC154" s="199"/>
    </row>
    <row r="155" spans="1:55" ht="15.75" x14ac:dyDescent="0.25">
      <c r="A155" s="1400" t="s">
        <v>445</v>
      </c>
      <c r="B155" s="362" t="s">
        <v>444</v>
      </c>
      <c r="C155" s="363"/>
      <c r="D155" s="364"/>
      <c r="E155" s="365"/>
      <c r="F155" s="365"/>
      <c r="G155" s="365"/>
      <c r="H155" s="365"/>
      <c r="I155" s="365"/>
      <c r="J155" s="365"/>
      <c r="K155" s="366"/>
      <c r="L155" s="349"/>
      <c r="M155" s="350"/>
      <c r="N155" s="350"/>
      <c r="O155" s="350"/>
      <c r="P155" s="350"/>
      <c r="Q155" s="350"/>
      <c r="R155" s="350"/>
      <c r="S155" s="350"/>
      <c r="T155" s="350"/>
      <c r="U155" s="351"/>
      <c r="V155" s="349"/>
      <c r="W155" s="350"/>
      <c r="X155" s="350"/>
      <c r="Y155" s="350"/>
      <c r="Z155" s="350"/>
      <c r="AA155" s="350"/>
      <c r="AB155" s="350"/>
      <c r="AC155" s="350"/>
      <c r="AD155" s="350"/>
      <c r="AE155" s="350"/>
      <c r="AF155" s="350"/>
      <c r="AG155" s="350"/>
      <c r="AH155" s="350"/>
      <c r="AI155" s="350"/>
      <c r="AJ155" s="351"/>
      <c r="AK155" s="349"/>
      <c r="AL155" s="350"/>
      <c r="AM155" s="350"/>
      <c r="AN155" s="350"/>
      <c r="AO155" s="350"/>
      <c r="AP155" s="350"/>
      <c r="AQ155" s="350"/>
      <c r="AR155" s="350"/>
      <c r="AS155" s="350"/>
      <c r="AT155" s="350"/>
      <c r="AU155" s="350"/>
      <c r="AV155" s="350"/>
      <c r="AW155" s="350"/>
      <c r="AX155" s="350"/>
      <c r="AY155" s="351"/>
      <c r="AZ155" s="199"/>
      <c r="BA155" s="199"/>
      <c r="BB155" s="199"/>
      <c r="BC155" s="199"/>
    </row>
    <row r="156" spans="1:55" ht="15.75" x14ac:dyDescent="0.25">
      <c r="A156" s="1401"/>
      <c r="B156" s="352" t="s">
        <v>446</v>
      </c>
      <c r="C156" s="330"/>
      <c r="D156" s="331"/>
      <c r="E156" s="332"/>
      <c r="F156" s="332"/>
      <c r="G156" s="332"/>
      <c r="H156" s="332"/>
      <c r="I156" s="332"/>
      <c r="J156" s="332"/>
      <c r="K156" s="333"/>
      <c r="L156" s="334"/>
      <c r="M156" s="335"/>
      <c r="N156" s="335"/>
      <c r="O156" s="335"/>
      <c r="P156" s="335"/>
      <c r="Q156" s="335"/>
      <c r="R156" s="335"/>
      <c r="S156" s="335"/>
      <c r="T156" s="335"/>
      <c r="U156" s="336"/>
      <c r="V156" s="334"/>
      <c r="W156" s="335"/>
      <c r="X156" s="335"/>
      <c r="Y156" s="335"/>
      <c r="Z156" s="335"/>
      <c r="AA156" s="335"/>
      <c r="AB156" s="335"/>
      <c r="AC156" s="335"/>
      <c r="AD156" s="335"/>
      <c r="AE156" s="335"/>
      <c r="AF156" s="335"/>
      <c r="AG156" s="335"/>
      <c r="AH156" s="335"/>
      <c r="AI156" s="335"/>
      <c r="AJ156" s="336"/>
      <c r="AK156" s="334"/>
      <c r="AL156" s="335"/>
      <c r="AM156" s="335"/>
      <c r="AN156" s="335"/>
      <c r="AO156" s="335"/>
      <c r="AP156" s="335"/>
      <c r="AQ156" s="335"/>
      <c r="AR156" s="335"/>
      <c r="AS156" s="335"/>
      <c r="AT156" s="335"/>
      <c r="AU156" s="335"/>
      <c r="AV156" s="335"/>
      <c r="AW156" s="335"/>
      <c r="AX156" s="335"/>
      <c r="AY156" s="336"/>
      <c r="AZ156" s="199"/>
      <c r="BA156" s="199"/>
      <c r="BB156" s="199"/>
      <c r="BC156" s="199"/>
    </row>
    <row r="157" spans="1:55" ht="15.75" x14ac:dyDescent="0.25">
      <c r="A157" s="1401"/>
      <c r="B157" s="352" t="s">
        <v>447</v>
      </c>
      <c r="C157" s="330"/>
      <c r="D157" s="331"/>
      <c r="E157" s="332"/>
      <c r="F157" s="332"/>
      <c r="G157" s="332"/>
      <c r="H157" s="332"/>
      <c r="I157" s="332"/>
      <c r="J157" s="332"/>
      <c r="K157" s="333"/>
      <c r="L157" s="334"/>
      <c r="M157" s="335"/>
      <c r="N157" s="335"/>
      <c r="O157" s="335"/>
      <c r="P157" s="335"/>
      <c r="Q157" s="335"/>
      <c r="R157" s="335"/>
      <c r="S157" s="335"/>
      <c r="T157" s="335"/>
      <c r="U157" s="336"/>
      <c r="V157" s="334"/>
      <c r="W157" s="335"/>
      <c r="X157" s="335"/>
      <c r="Y157" s="335"/>
      <c r="Z157" s="335"/>
      <c r="AA157" s="335"/>
      <c r="AB157" s="335"/>
      <c r="AC157" s="335"/>
      <c r="AD157" s="335"/>
      <c r="AE157" s="335"/>
      <c r="AF157" s="335"/>
      <c r="AG157" s="335"/>
      <c r="AH157" s="335"/>
      <c r="AI157" s="335"/>
      <c r="AJ157" s="336"/>
      <c r="AK157" s="334"/>
      <c r="AL157" s="335"/>
      <c r="AM157" s="335"/>
      <c r="AN157" s="335"/>
      <c r="AO157" s="335"/>
      <c r="AP157" s="335"/>
      <c r="AQ157" s="335"/>
      <c r="AR157" s="335"/>
      <c r="AS157" s="335"/>
      <c r="AT157" s="335"/>
      <c r="AU157" s="335"/>
      <c r="AV157" s="335"/>
      <c r="AW157" s="335"/>
      <c r="AX157" s="335"/>
      <c r="AY157" s="336"/>
      <c r="AZ157" s="199"/>
      <c r="BA157" s="199"/>
      <c r="BB157" s="199"/>
      <c r="BC157" s="199"/>
    </row>
    <row r="158" spans="1:55" ht="15.75" x14ac:dyDescent="0.25">
      <c r="A158" s="1401"/>
      <c r="B158" s="352" t="s">
        <v>448</v>
      </c>
      <c r="C158" s="330"/>
      <c r="D158" s="331"/>
      <c r="E158" s="332"/>
      <c r="F158" s="332"/>
      <c r="G158" s="332"/>
      <c r="H158" s="332"/>
      <c r="I158" s="332"/>
      <c r="J158" s="332"/>
      <c r="K158" s="333"/>
      <c r="L158" s="334"/>
      <c r="M158" s="335"/>
      <c r="N158" s="335"/>
      <c r="O158" s="335"/>
      <c r="P158" s="335"/>
      <c r="Q158" s="335"/>
      <c r="R158" s="335"/>
      <c r="S158" s="335"/>
      <c r="T158" s="335"/>
      <c r="U158" s="336"/>
      <c r="V158" s="334"/>
      <c r="W158" s="335"/>
      <c r="X158" s="335"/>
      <c r="Y158" s="335"/>
      <c r="Z158" s="335"/>
      <c r="AA158" s="335"/>
      <c r="AB158" s="335"/>
      <c r="AC158" s="335"/>
      <c r="AD158" s="335"/>
      <c r="AE158" s="335"/>
      <c r="AF158" s="335"/>
      <c r="AG158" s="335"/>
      <c r="AH158" s="335"/>
      <c r="AI158" s="335"/>
      <c r="AJ158" s="336"/>
      <c r="AK158" s="334"/>
      <c r="AL158" s="335"/>
      <c r="AM158" s="335"/>
      <c r="AN158" s="335"/>
      <c r="AO158" s="335"/>
      <c r="AP158" s="335"/>
      <c r="AQ158" s="335"/>
      <c r="AR158" s="335"/>
      <c r="AS158" s="335"/>
      <c r="AT158" s="335"/>
      <c r="AU158" s="335"/>
      <c r="AV158" s="335"/>
      <c r="AW158" s="335"/>
      <c r="AX158" s="335"/>
      <c r="AY158" s="336"/>
      <c r="AZ158" s="199"/>
      <c r="BA158" s="199"/>
      <c r="BB158" s="199"/>
      <c r="BC158" s="199"/>
    </row>
    <row r="159" spans="1:55" ht="15.75" x14ac:dyDescent="0.25">
      <c r="A159" s="1401"/>
      <c r="B159" s="352" t="s">
        <v>449</v>
      </c>
      <c r="C159" s="330"/>
      <c r="D159" s="331"/>
      <c r="E159" s="332"/>
      <c r="F159" s="332"/>
      <c r="G159" s="332"/>
      <c r="H159" s="332"/>
      <c r="I159" s="332"/>
      <c r="J159" s="332"/>
      <c r="K159" s="333"/>
      <c r="L159" s="334"/>
      <c r="M159" s="335"/>
      <c r="N159" s="335"/>
      <c r="O159" s="335"/>
      <c r="P159" s="335"/>
      <c r="Q159" s="335"/>
      <c r="R159" s="335"/>
      <c r="S159" s="335"/>
      <c r="T159" s="335"/>
      <c r="U159" s="336"/>
      <c r="V159" s="334"/>
      <c r="W159" s="335"/>
      <c r="X159" s="335"/>
      <c r="Y159" s="335"/>
      <c r="Z159" s="335"/>
      <c r="AA159" s="335"/>
      <c r="AB159" s="335"/>
      <c r="AC159" s="335"/>
      <c r="AD159" s="335"/>
      <c r="AE159" s="335"/>
      <c r="AF159" s="335"/>
      <c r="AG159" s="335"/>
      <c r="AH159" s="335"/>
      <c r="AI159" s="335"/>
      <c r="AJ159" s="336"/>
      <c r="AK159" s="334"/>
      <c r="AL159" s="335"/>
      <c r="AM159" s="335"/>
      <c r="AN159" s="335"/>
      <c r="AO159" s="335"/>
      <c r="AP159" s="335"/>
      <c r="AQ159" s="335"/>
      <c r="AR159" s="335"/>
      <c r="AS159" s="335"/>
      <c r="AT159" s="335"/>
      <c r="AU159" s="335"/>
      <c r="AV159" s="335"/>
      <c r="AW159" s="335"/>
      <c r="AX159" s="335"/>
      <c r="AY159" s="336"/>
      <c r="AZ159" s="199"/>
      <c r="BA159" s="199"/>
      <c r="BB159" s="199"/>
      <c r="BC159" s="199"/>
    </row>
    <row r="160" spans="1:55" ht="15.75" x14ac:dyDescent="0.25">
      <c r="A160" s="1401"/>
      <c r="B160" s="352" t="s">
        <v>450</v>
      </c>
      <c r="C160" s="330"/>
      <c r="D160" s="331"/>
      <c r="E160" s="332"/>
      <c r="F160" s="332"/>
      <c r="G160" s="332"/>
      <c r="H160" s="332"/>
      <c r="I160" s="332"/>
      <c r="J160" s="332"/>
      <c r="K160" s="333"/>
      <c r="L160" s="334"/>
      <c r="M160" s="335"/>
      <c r="N160" s="335"/>
      <c r="O160" s="335"/>
      <c r="P160" s="335"/>
      <c r="Q160" s="335"/>
      <c r="R160" s="335"/>
      <c r="S160" s="335"/>
      <c r="T160" s="335"/>
      <c r="U160" s="336"/>
      <c r="V160" s="334"/>
      <c r="W160" s="335"/>
      <c r="X160" s="335"/>
      <c r="Y160" s="335"/>
      <c r="Z160" s="335"/>
      <c r="AA160" s="335"/>
      <c r="AB160" s="335"/>
      <c r="AC160" s="335"/>
      <c r="AD160" s="335"/>
      <c r="AE160" s="335"/>
      <c r="AF160" s="335"/>
      <c r="AG160" s="335"/>
      <c r="AH160" s="335"/>
      <c r="AI160" s="335"/>
      <c r="AJ160" s="336"/>
      <c r="AK160" s="334"/>
      <c r="AL160" s="335"/>
      <c r="AM160" s="335"/>
      <c r="AN160" s="335"/>
      <c r="AO160" s="335"/>
      <c r="AP160" s="335"/>
      <c r="AQ160" s="335"/>
      <c r="AR160" s="335"/>
      <c r="AS160" s="335"/>
      <c r="AT160" s="335"/>
      <c r="AU160" s="335"/>
      <c r="AV160" s="335"/>
      <c r="AW160" s="335"/>
      <c r="AX160" s="335"/>
      <c r="AY160" s="336"/>
      <c r="AZ160" s="199"/>
      <c r="BA160" s="199"/>
      <c r="BB160" s="199"/>
      <c r="BC160" s="199"/>
    </row>
    <row r="161" spans="1:55" ht="15.75" x14ac:dyDescent="0.25">
      <c r="A161" s="1401"/>
      <c r="B161" s="352" t="s">
        <v>451</v>
      </c>
      <c r="C161" s="330"/>
      <c r="D161" s="331"/>
      <c r="E161" s="332"/>
      <c r="F161" s="332"/>
      <c r="G161" s="332"/>
      <c r="H161" s="332"/>
      <c r="I161" s="332"/>
      <c r="J161" s="332"/>
      <c r="K161" s="333"/>
      <c r="L161" s="334"/>
      <c r="M161" s="335"/>
      <c r="N161" s="335"/>
      <c r="O161" s="335"/>
      <c r="P161" s="335"/>
      <c r="Q161" s="335"/>
      <c r="R161" s="335"/>
      <c r="S161" s="335"/>
      <c r="T161" s="335"/>
      <c r="U161" s="336"/>
      <c r="V161" s="334"/>
      <c r="W161" s="335"/>
      <c r="X161" s="335"/>
      <c r="Y161" s="335"/>
      <c r="Z161" s="335"/>
      <c r="AA161" s="335"/>
      <c r="AB161" s="335"/>
      <c r="AC161" s="335"/>
      <c r="AD161" s="335"/>
      <c r="AE161" s="335"/>
      <c r="AF161" s="335"/>
      <c r="AG161" s="335"/>
      <c r="AH161" s="335"/>
      <c r="AI161" s="335"/>
      <c r="AJ161" s="336"/>
      <c r="AK161" s="334"/>
      <c r="AL161" s="335"/>
      <c r="AM161" s="335"/>
      <c r="AN161" s="335"/>
      <c r="AO161" s="335"/>
      <c r="AP161" s="335"/>
      <c r="AQ161" s="335"/>
      <c r="AR161" s="335"/>
      <c r="AS161" s="335"/>
      <c r="AT161" s="335"/>
      <c r="AU161" s="335"/>
      <c r="AV161" s="335"/>
      <c r="AW161" s="335"/>
      <c r="AX161" s="335"/>
      <c r="AY161" s="336"/>
      <c r="AZ161" s="199"/>
      <c r="BA161" s="199"/>
      <c r="BB161" s="199"/>
      <c r="BC161" s="199"/>
    </row>
    <row r="162" spans="1:55" ht="15.75" x14ac:dyDescent="0.25">
      <c r="A162" s="1401"/>
      <c r="B162" s="352" t="s">
        <v>452</v>
      </c>
      <c r="C162" s="330"/>
      <c r="D162" s="331"/>
      <c r="E162" s="332"/>
      <c r="F162" s="332"/>
      <c r="G162" s="332"/>
      <c r="H162" s="332"/>
      <c r="I162" s="332"/>
      <c r="J162" s="332"/>
      <c r="K162" s="333"/>
      <c r="L162" s="334"/>
      <c r="M162" s="335"/>
      <c r="N162" s="335"/>
      <c r="O162" s="335"/>
      <c r="P162" s="335"/>
      <c r="Q162" s="335"/>
      <c r="R162" s="335"/>
      <c r="S162" s="335"/>
      <c r="T162" s="335"/>
      <c r="U162" s="336"/>
      <c r="V162" s="334"/>
      <c r="W162" s="335"/>
      <c r="X162" s="335"/>
      <c r="Y162" s="335"/>
      <c r="Z162" s="335"/>
      <c r="AA162" s="335"/>
      <c r="AB162" s="335"/>
      <c r="AC162" s="335"/>
      <c r="AD162" s="335"/>
      <c r="AE162" s="335"/>
      <c r="AF162" s="335"/>
      <c r="AG162" s="335"/>
      <c r="AH162" s="335"/>
      <c r="AI162" s="335"/>
      <c r="AJ162" s="336"/>
      <c r="AK162" s="334"/>
      <c r="AL162" s="335"/>
      <c r="AM162" s="335"/>
      <c r="AN162" s="335"/>
      <c r="AO162" s="335"/>
      <c r="AP162" s="335"/>
      <c r="AQ162" s="335"/>
      <c r="AR162" s="335"/>
      <c r="AS162" s="335"/>
      <c r="AT162" s="335"/>
      <c r="AU162" s="335"/>
      <c r="AV162" s="335"/>
      <c r="AW162" s="335"/>
      <c r="AX162" s="335"/>
      <c r="AY162" s="336"/>
      <c r="AZ162" s="199"/>
      <c r="BA162" s="199"/>
      <c r="BB162" s="199"/>
      <c r="BC162" s="199"/>
    </row>
    <row r="163" spans="1:55" ht="15.75" x14ac:dyDescent="0.25">
      <c r="A163" s="1401"/>
      <c r="B163" s="352" t="str">
        <f>IF(K163&gt;0, "W.P. Incendiaries", "(Needs Prerequisite)")</f>
        <v>(Needs Prerequisite)</v>
      </c>
      <c r="C163" s="330" t="s">
        <v>460</v>
      </c>
      <c r="D163" s="331">
        <v>20</v>
      </c>
      <c r="E163" s="332"/>
      <c r="F163" s="332"/>
      <c r="G163" s="332">
        <v>5</v>
      </c>
      <c r="H163" s="332"/>
      <c r="I163" s="332"/>
      <c r="J163" s="332"/>
      <c r="K163" s="333">
        <f>COUNTIF(skill_select, "*W.P. Siege Weapons*")</f>
        <v>0</v>
      </c>
      <c r="L163" s="334"/>
      <c r="M163" s="335"/>
      <c r="N163" s="335"/>
      <c r="O163" s="335"/>
      <c r="P163" s="335"/>
      <c r="Q163" s="335"/>
      <c r="R163" s="335"/>
      <c r="S163" s="335"/>
      <c r="T163" s="335"/>
      <c r="U163" s="336"/>
      <c r="V163" s="334"/>
      <c r="W163" s="335"/>
      <c r="X163" s="335"/>
      <c r="Y163" s="335"/>
      <c r="Z163" s="335"/>
      <c r="AA163" s="335"/>
      <c r="AB163" s="335"/>
      <c r="AC163" s="335"/>
      <c r="AD163" s="335"/>
      <c r="AE163" s="335"/>
      <c r="AF163" s="335"/>
      <c r="AG163" s="335"/>
      <c r="AH163" s="335"/>
      <c r="AI163" s="335"/>
      <c r="AJ163" s="336"/>
      <c r="AK163" s="334"/>
      <c r="AL163" s="335"/>
      <c r="AM163" s="335"/>
      <c r="AN163" s="335"/>
      <c r="AO163" s="335"/>
      <c r="AP163" s="335"/>
      <c r="AQ163" s="335"/>
      <c r="AR163" s="335"/>
      <c r="AS163" s="335"/>
      <c r="AT163" s="335"/>
      <c r="AU163" s="335"/>
      <c r="AV163" s="335"/>
      <c r="AW163" s="335"/>
      <c r="AX163" s="335"/>
      <c r="AY163" s="336"/>
      <c r="AZ163" s="199"/>
      <c r="BA163" s="199"/>
      <c r="BB163" s="199"/>
      <c r="BC163" s="199"/>
    </row>
    <row r="164" spans="1:55" ht="15.75" x14ac:dyDescent="0.25">
      <c r="A164" s="1401"/>
      <c r="B164" s="352" t="s">
        <v>453</v>
      </c>
      <c r="C164" s="330"/>
      <c r="D164" s="331"/>
      <c r="E164" s="332"/>
      <c r="F164" s="332"/>
      <c r="G164" s="332"/>
      <c r="H164" s="332"/>
      <c r="I164" s="332"/>
      <c r="J164" s="332"/>
      <c r="K164" s="333"/>
      <c r="L164" s="334"/>
      <c r="M164" s="335"/>
      <c r="N164" s="335"/>
      <c r="O164" s="335"/>
      <c r="P164" s="335"/>
      <c r="Q164" s="335"/>
      <c r="R164" s="335"/>
      <c r="S164" s="335"/>
      <c r="T164" s="335"/>
      <c r="U164" s="336"/>
      <c r="V164" s="334"/>
      <c r="W164" s="335"/>
      <c r="X164" s="335"/>
      <c r="Y164" s="335"/>
      <c r="Z164" s="335"/>
      <c r="AA164" s="335"/>
      <c r="AB164" s="335"/>
      <c r="AC164" s="335"/>
      <c r="AD164" s="335"/>
      <c r="AE164" s="335"/>
      <c r="AF164" s="335"/>
      <c r="AG164" s="335"/>
      <c r="AH164" s="335"/>
      <c r="AI164" s="335"/>
      <c r="AJ164" s="336"/>
      <c r="AK164" s="334"/>
      <c r="AL164" s="335"/>
      <c r="AM164" s="335"/>
      <c r="AN164" s="335"/>
      <c r="AO164" s="335"/>
      <c r="AP164" s="335"/>
      <c r="AQ164" s="335"/>
      <c r="AR164" s="335"/>
      <c r="AS164" s="335"/>
      <c r="AT164" s="335"/>
      <c r="AU164" s="335"/>
      <c r="AV164" s="335"/>
      <c r="AW164" s="335"/>
      <c r="AX164" s="335"/>
      <c r="AY164" s="336"/>
      <c r="AZ164" s="199"/>
      <c r="BA164" s="199"/>
      <c r="BB164" s="199"/>
      <c r="BC164" s="199"/>
    </row>
    <row r="165" spans="1:55" ht="15.75" x14ac:dyDescent="0.25">
      <c r="A165" s="1401"/>
      <c r="B165" s="352" t="s">
        <v>454</v>
      </c>
      <c r="C165" s="330"/>
      <c r="D165" s="331"/>
      <c r="E165" s="332"/>
      <c r="F165" s="332"/>
      <c r="G165" s="332"/>
      <c r="H165" s="332"/>
      <c r="I165" s="332"/>
      <c r="J165" s="332"/>
      <c r="K165" s="333"/>
      <c r="L165" s="334"/>
      <c r="M165" s="335"/>
      <c r="N165" s="335"/>
      <c r="O165" s="335"/>
      <c r="P165" s="335"/>
      <c r="Q165" s="335"/>
      <c r="R165" s="335"/>
      <c r="S165" s="335"/>
      <c r="T165" s="335"/>
      <c r="U165" s="336"/>
      <c r="V165" s="334"/>
      <c r="W165" s="335"/>
      <c r="X165" s="335"/>
      <c r="Y165" s="335"/>
      <c r="Z165" s="335"/>
      <c r="AA165" s="335"/>
      <c r="AB165" s="335"/>
      <c r="AC165" s="335"/>
      <c r="AD165" s="335"/>
      <c r="AE165" s="335"/>
      <c r="AF165" s="335"/>
      <c r="AG165" s="335"/>
      <c r="AH165" s="335"/>
      <c r="AI165" s="335"/>
      <c r="AJ165" s="336"/>
      <c r="AK165" s="334"/>
      <c r="AL165" s="335"/>
      <c r="AM165" s="335"/>
      <c r="AN165" s="335"/>
      <c r="AO165" s="335"/>
      <c r="AP165" s="335"/>
      <c r="AQ165" s="335"/>
      <c r="AR165" s="335"/>
      <c r="AS165" s="335"/>
      <c r="AT165" s="335"/>
      <c r="AU165" s="335"/>
      <c r="AV165" s="335"/>
      <c r="AW165" s="335"/>
      <c r="AX165" s="335"/>
      <c r="AY165" s="336"/>
      <c r="AZ165" s="199"/>
      <c r="BA165" s="199"/>
      <c r="BB165" s="199"/>
      <c r="BC165" s="199"/>
    </row>
    <row r="166" spans="1:55" ht="15.75" x14ac:dyDescent="0.25">
      <c r="A166" s="1401"/>
      <c r="B166" s="352" t="s">
        <v>455</v>
      </c>
      <c r="C166" s="330"/>
      <c r="D166" s="331"/>
      <c r="E166" s="332"/>
      <c r="F166" s="332"/>
      <c r="G166" s="332"/>
      <c r="H166" s="332"/>
      <c r="I166" s="332"/>
      <c r="J166" s="332"/>
      <c r="K166" s="333"/>
      <c r="L166" s="334"/>
      <c r="M166" s="335"/>
      <c r="N166" s="335"/>
      <c r="O166" s="335"/>
      <c r="P166" s="335"/>
      <c r="Q166" s="335"/>
      <c r="R166" s="335"/>
      <c r="S166" s="335"/>
      <c r="T166" s="335"/>
      <c r="U166" s="336"/>
      <c r="V166" s="334"/>
      <c r="W166" s="335"/>
      <c r="X166" s="335"/>
      <c r="Y166" s="335"/>
      <c r="Z166" s="335"/>
      <c r="AA166" s="335"/>
      <c r="AB166" s="335"/>
      <c r="AC166" s="335"/>
      <c r="AD166" s="335"/>
      <c r="AE166" s="335"/>
      <c r="AF166" s="335"/>
      <c r="AG166" s="335"/>
      <c r="AH166" s="335"/>
      <c r="AI166" s="335"/>
      <c r="AJ166" s="336"/>
      <c r="AK166" s="334"/>
      <c r="AL166" s="335"/>
      <c r="AM166" s="335"/>
      <c r="AN166" s="335"/>
      <c r="AO166" s="335"/>
      <c r="AP166" s="335"/>
      <c r="AQ166" s="335"/>
      <c r="AR166" s="335"/>
      <c r="AS166" s="335"/>
      <c r="AT166" s="335"/>
      <c r="AU166" s="335"/>
      <c r="AV166" s="335"/>
      <c r="AW166" s="335"/>
      <c r="AX166" s="335"/>
      <c r="AY166" s="336"/>
      <c r="AZ166" s="199"/>
      <c r="BA166" s="199"/>
      <c r="BB166" s="199"/>
      <c r="BC166" s="199"/>
    </row>
    <row r="167" spans="1:55" ht="15.75" x14ac:dyDescent="0.25">
      <c r="A167" s="1401"/>
      <c r="B167" s="352" t="s">
        <v>456</v>
      </c>
      <c r="C167" s="330"/>
      <c r="D167" s="331"/>
      <c r="E167" s="332"/>
      <c r="F167" s="332"/>
      <c r="G167" s="332"/>
      <c r="H167" s="332"/>
      <c r="I167" s="332"/>
      <c r="J167" s="332"/>
      <c r="K167" s="333"/>
      <c r="L167" s="334"/>
      <c r="M167" s="335"/>
      <c r="N167" s="335"/>
      <c r="O167" s="335"/>
      <c r="P167" s="335"/>
      <c r="Q167" s="335"/>
      <c r="R167" s="335"/>
      <c r="S167" s="335"/>
      <c r="T167" s="335"/>
      <c r="U167" s="336"/>
      <c r="V167" s="334"/>
      <c r="W167" s="335"/>
      <c r="X167" s="335"/>
      <c r="Y167" s="335"/>
      <c r="Z167" s="335"/>
      <c r="AA167" s="335"/>
      <c r="AB167" s="335"/>
      <c r="AC167" s="335"/>
      <c r="AD167" s="335"/>
      <c r="AE167" s="335"/>
      <c r="AF167" s="335"/>
      <c r="AG167" s="335"/>
      <c r="AH167" s="335"/>
      <c r="AI167" s="335"/>
      <c r="AJ167" s="336"/>
      <c r="AK167" s="334"/>
      <c r="AL167" s="335"/>
      <c r="AM167" s="335"/>
      <c r="AN167" s="335"/>
      <c r="AO167" s="335"/>
      <c r="AP167" s="335"/>
      <c r="AQ167" s="335"/>
      <c r="AR167" s="335"/>
      <c r="AS167" s="335"/>
      <c r="AT167" s="335"/>
      <c r="AU167" s="335"/>
      <c r="AV167" s="335"/>
      <c r="AW167" s="335"/>
      <c r="AX167" s="335"/>
      <c r="AY167" s="336"/>
      <c r="AZ167" s="199"/>
      <c r="BA167" s="199"/>
      <c r="BB167" s="199"/>
      <c r="BC167" s="199"/>
    </row>
    <row r="168" spans="1:55" ht="15.75" x14ac:dyDescent="0.25">
      <c r="A168" s="1401"/>
      <c r="B168" s="352" t="s">
        <v>457</v>
      </c>
      <c r="C168" s="330"/>
      <c r="D168" s="331"/>
      <c r="E168" s="332"/>
      <c r="F168" s="332"/>
      <c r="G168" s="332"/>
      <c r="H168" s="332"/>
      <c r="I168" s="332"/>
      <c r="J168" s="332"/>
      <c r="K168" s="333"/>
      <c r="L168" s="334"/>
      <c r="M168" s="335"/>
      <c r="N168" s="335"/>
      <c r="O168" s="335"/>
      <c r="P168" s="335"/>
      <c r="Q168" s="335"/>
      <c r="R168" s="335"/>
      <c r="S168" s="335"/>
      <c r="T168" s="335"/>
      <c r="U168" s="336"/>
      <c r="V168" s="334"/>
      <c r="W168" s="335"/>
      <c r="X168" s="335"/>
      <c r="Y168" s="335"/>
      <c r="Z168" s="335"/>
      <c r="AA168" s="335"/>
      <c r="AB168" s="335"/>
      <c r="AC168" s="335"/>
      <c r="AD168" s="335"/>
      <c r="AE168" s="335"/>
      <c r="AF168" s="335"/>
      <c r="AG168" s="335"/>
      <c r="AH168" s="335"/>
      <c r="AI168" s="335"/>
      <c r="AJ168" s="336"/>
      <c r="AK168" s="334"/>
      <c r="AL168" s="335"/>
      <c r="AM168" s="335"/>
      <c r="AN168" s="335"/>
      <c r="AO168" s="335"/>
      <c r="AP168" s="335"/>
      <c r="AQ168" s="335"/>
      <c r="AR168" s="335"/>
      <c r="AS168" s="335"/>
      <c r="AT168" s="335"/>
      <c r="AU168" s="335"/>
      <c r="AV168" s="335"/>
      <c r="AW168" s="335"/>
      <c r="AX168" s="335"/>
      <c r="AY168" s="336"/>
      <c r="AZ168" s="199"/>
      <c r="BA168" s="199"/>
      <c r="BB168" s="199"/>
      <c r="BC168" s="199"/>
    </row>
    <row r="169" spans="1:55" ht="15.75" x14ac:dyDescent="0.25">
      <c r="A169" s="1401"/>
      <c r="B169" s="352" t="s">
        <v>458</v>
      </c>
      <c r="C169" s="330"/>
      <c r="D169" s="331"/>
      <c r="E169" s="332"/>
      <c r="F169" s="332"/>
      <c r="G169" s="332"/>
      <c r="H169" s="332"/>
      <c r="I169" s="332"/>
      <c r="J169" s="332"/>
      <c r="K169" s="333"/>
      <c r="L169" s="334"/>
      <c r="M169" s="335"/>
      <c r="N169" s="335"/>
      <c r="O169" s="335"/>
      <c r="P169" s="335"/>
      <c r="Q169" s="335"/>
      <c r="R169" s="335"/>
      <c r="S169" s="335"/>
      <c r="T169" s="335"/>
      <c r="U169" s="336"/>
      <c r="V169" s="334"/>
      <c r="W169" s="335"/>
      <c r="X169" s="335"/>
      <c r="Y169" s="335"/>
      <c r="Z169" s="335"/>
      <c r="AA169" s="335"/>
      <c r="AB169" s="335"/>
      <c r="AC169" s="335"/>
      <c r="AD169" s="335"/>
      <c r="AE169" s="335"/>
      <c r="AF169" s="335"/>
      <c r="AG169" s="335"/>
      <c r="AH169" s="335"/>
      <c r="AI169" s="335"/>
      <c r="AJ169" s="336"/>
      <c r="AK169" s="334"/>
      <c r="AL169" s="335"/>
      <c r="AM169" s="335"/>
      <c r="AN169" s="335"/>
      <c r="AO169" s="335"/>
      <c r="AP169" s="335"/>
      <c r="AQ169" s="335"/>
      <c r="AR169" s="335"/>
      <c r="AS169" s="335"/>
      <c r="AT169" s="335"/>
      <c r="AU169" s="335"/>
      <c r="AV169" s="335"/>
      <c r="AW169" s="335"/>
      <c r="AX169" s="335"/>
      <c r="AY169" s="336"/>
      <c r="AZ169" s="199"/>
      <c r="BA169" s="199"/>
      <c r="BB169" s="199"/>
      <c r="BC169" s="199"/>
    </row>
    <row r="170" spans="1:55" ht="15.75" x14ac:dyDescent="0.25">
      <c r="A170" s="1401"/>
      <c r="B170" s="352" t="s">
        <v>459</v>
      </c>
      <c r="C170" s="330"/>
      <c r="D170" s="331"/>
      <c r="E170" s="332"/>
      <c r="F170" s="332"/>
      <c r="G170" s="332"/>
      <c r="H170" s="332"/>
      <c r="I170" s="332"/>
      <c r="J170" s="332"/>
      <c r="K170" s="333"/>
      <c r="L170" s="334"/>
      <c r="M170" s="335"/>
      <c r="N170" s="335"/>
      <c r="O170" s="335"/>
      <c r="P170" s="335"/>
      <c r="Q170" s="335"/>
      <c r="R170" s="335"/>
      <c r="S170" s="335"/>
      <c r="T170" s="335"/>
      <c r="U170" s="336"/>
      <c r="V170" s="334"/>
      <c r="W170" s="335"/>
      <c r="X170" s="335"/>
      <c r="Y170" s="335"/>
      <c r="Z170" s="335"/>
      <c r="AA170" s="335"/>
      <c r="AB170" s="335"/>
      <c r="AC170" s="335"/>
      <c r="AD170" s="335"/>
      <c r="AE170" s="335"/>
      <c r="AF170" s="335"/>
      <c r="AG170" s="335"/>
      <c r="AH170" s="335"/>
      <c r="AI170" s="335"/>
      <c r="AJ170" s="336"/>
      <c r="AK170" s="334"/>
      <c r="AL170" s="335"/>
      <c r="AM170" s="335"/>
      <c r="AN170" s="335"/>
      <c r="AO170" s="335"/>
      <c r="AP170" s="335"/>
      <c r="AQ170" s="335"/>
      <c r="AR170" s="335"/>
      <c r="AS170" s="335"/>
      <c r="AT170" s="335"/>
      <c r="AU170" s="335"/>
      <c r="AV170" s="335"/>
      <c r="AW170" s="335"/>
      <c r="AX170" s="335"/>
      <c r="AY170" s="336"/>
      <c r="AZ170" s="199"/>
      <c r="BA170" s="199"/>
      <c r="BB170" s="199"/>
      <c r="BC170" s="199"/>
    </row>
    <row r="171" spans="1:55" ht="15.75" x14ac:dyDescent="0.25">
      <c r="A171" s="1401"/>
      <c r="B171" s="352" t="s">
        <v>460</v>
      </c>
      <c r="C171" s="330"/>
      <c r="D171" s="331"/>
      <c r="E171" s="332"/>
      <c r="F171" s="332"/>
      <c r="G171" s="332"/>
      <c r="H171" s="332"/>
      <c r="I171" s="332"/>
      <c r="J171" s="332"/>
      <c r="K171" s="333"/>
      <c r="L171" s="334"/>
      <c r="M171" s="335"/>
      <c r="N171" s="335"/>
      <c r="O171" s="335"/>
      <c r="P171" s="335"/>
      <c r="Q171" s="335"/>
      <c r="R171" s="335"/>
      <c r="S171" s="335"/>
      <c r="T171" s="335"/>
      <c r="U171" s="336"/>
      <c r="V171" s="334"/>
      <c r="W171" s="335"/>
      <c r="X171" s="335"/>
      <c r="Y171" s="335"/>
      <c r="Z171" s="335"/>
      <c r="AA171" s="335"/>
      <c r="AB171" s="335"/>
      <c r="AC171" s="335"/>
      <c r="AD171" s="335"/>
      <c r="AE171" s="335"/>
      <c r="AF171" s="335"/>
      <c r="AG171" s="335"/>
      <c r="AH171" s="335"/>
      <c r="AI171" s="335"/>
      <c r="AJ171" s="336"/>
      <c r="AK171" s="334"/>
      <c r="AL171" s="335"/>
      <c r="AM171" s="335"/>
      <c r="AN171" s="335"/>
      <c r="AO171" s="335"/>
      <c r="AP171" s="335"/>
      <c r="AQ171" s="335"/>
      <c r="AR171" s="335"/>
      <c r="AS171" s="335"/>
      <c r="AT171" s="335"/>
      <c r="AU171" s="335"/>
      <c r="AV171" s="335"/>
      <c r="AW171" s="335"/>
      <c r="AX171" s="335"/>
      <c r="AY171" s="336"/>
      <c r="AZ171" s="199"/>
      <c r="BA171" s="199"/>
      <c r="BB171" s="199"/>
      <c r="BC171" s="199"/>
    </row>
    <row r="172" spans="1:55" ht="15.75" x14ac:dyDescent="0.25">
      <c r="A172" s="1401"/>
      <c r="B172" s="352" t="s">
        <v>461</v>
      </c>
      <c r="C172" s="330"/>
      <c r="D172" s="331"/>
      <c r="E172" s="332"/>
      <c r="F172" s="332"/>
      <c r="G172" s="332"/>
      <c r="H172" s="332"/>
      <c r="I172" s="332"/>
      <c r="J172" s="332"/>
      <c r="K172" s="333"/>
      <c r="L172" s="334"/>
      <c r="M172" s="335"/>
      <c r="N172" s="335"/>
      <c r="O172" s="335"/>
      <c r="P172" s="335"/>
      <c r="Q172" s="335"/>
      <c r="R172" s="335"/>
      <c r="S172" s="335"/>
      <c r="T172" s="335"/>
      <c r="U172" s="336"/>
      <c r="V172" s="334"/>
      <c r="W172" s="335"/>
      <c r="X172" s="335"/>
      <c r="Y172" s="335"/>
      <c r="Z172" s="335"/>
      <c r="AA172" s="335"/>
      <c r="AB172" s="335"/>
      <c r="AC172" s="335"/>
      <c r="AD172" s="335"/>
      <c r="AE172" s="335"/>
      <c r="AF172" s="335"/>
      <c r="AG172" s="335"/>
      <c r="AH172" s="335"/>
      <c r="AI172" s="335"/>
      <c r="AJ172" s="336"/>
      <c r="AK172" s="334"/>
      <c r="AL172" s="335"/>
      <c r="AM172" s="335"/>
      <c r="AN172" s="335"/>
      <c r="AO172" s="335"/>
      <c r="AP172" s="335"/>
      <c r="AQ172" s="335"/>
      <c r="AR172" s="335"/>
      <c r="AS172" s="335"/>
      <c r="AT172" s="335"/>
      <c r="AU172" s="335"/>
      <c r="AV172" s="335"/>
      <c r="AW172" s="335"/>
      <c r="AX172" s="335"/>
      <c r="AY172" s="336"/>
      <c r="AZ172" s="199"/>
      <c r="BA172" s="199"/>
      <c r="BB172" s="199"/>
      <c r="BC172" s="199"/>
    </row>
    <row r="173" spans="1:55" ht="15.75" x14ac:dyDescent="0.25">
      <c r="A173" s="1401"/>
      <c r="B173" s="352" t="s">
        <v>462</v>
      </c>
      <c r="C173" s="330"/>
      <c r="D173" s="331"/>
      <c r="E173" s="332"/>
      <c r="F173" s="332"/>
      <c r="G173" s="332"/>
      <c r="H173" s="332"/>
      <c r="I173" s="332"/>
      <c r="J173" s="332"/>
      <c r="K173" s="333"/>
      <c r="L173" s="334"/>
      <c r="M173" s="335"/>
      <c r="N173" s="335"/>
      <c r="O173" s="335"/>
      <c r="P173" s="335"/>
      <c r="Q173" s="335"/>
      <c r="R173" s="335"/>
      <c r="S173" s="335"/>
      <c r="T173" s="335"/>
      <c r="U173" s="336"/>
      <c r="V173" s="334"/>
      <c r="W173" s="335"/>
      <c r="X173" s="335"/>
      <c r="Y173" s="335"/>
      <c r="Z173" s="335"/>
      <c r="AA173" s="335"/>
      <c r="AB173" s="335"/>
      <c r="AC173" s="335"/>
      <c r="AD173" s="335"/>
      <c r="AE173" s="335"/>
      <c r="AF173" s="335"/>
      <c r="AG173" s="335"/>
      <c r="AH173" s="335"/>
      <c r="AI173" s="335"/>
      <c r="AJ173" s="336"/>
      <c r="AK173" s="334"/>
      <c r="AL173" s="335"/>
      <c r="AM173" s="335"/>
      <c r="AN173" s="335"/>
      <c r="AO173" s="335"/>
      <c r="AP173" s="335"/>
      <c r="AQ173" s="335"/>
      <c r="AR173" s="335"/>
      <c r="AS173" s="335"/>
      <c r="AT173" s="335"/>
      <c r="AU173" s="335"/>
      <c r="AV173" s="335"/>
      <c r="AW173" s="335"/>
      <c r="AX173" s="335"/>
      <c r="AY173" s="336"/>
      <c r="AZ173" s="199"/>
      <c r="BA173" s="199"/>
      <c r="BB173" s="199"/>
      <c r="BC173" s="199"/>
    </row>
    <row r="174" spans="1:55" ht="15.75" x14ac:dyDescent="0.25">
      <c r="A174" s="1401"/>
      <c r="B174" s="352" t="s">
        <v>463</v>
      </c>
      <c r="C174" s="330"/>
      <c r="D174" s="331"/>
      <c r="E174" s="332"/>
      <c r="F174" s="332"/>
      <c r="G174" s="332"/>
      <c r="H174" s="332"/>
      <c r="I174" s="332"/>
      <c r="J174" s="332"/>
      <c r="K174" s="333"/>
      <c r="L174" s="334"/>
      <c r="M174" s="335"/>
      <c r="N174" s="335"/>
      <c r="O174" s="335"/>
      <c r="P174" s="335"/>
      <c r="Q174" s="335"/>
      <c r="R174" s="335"/>
      <c r="S174" s="335"/>
      <c r="T174" s="335"/>
      <c r="U174" s="336"/>
      <c r="V174" s="334"/>
      <c r="W174" s="335"/>
      <c r="X174" s="335"/>
      <c r="Y174" s="335"/>
      <c r="Z174" s="335"/>
      <c r="AA174" s="335"/>
      <c r="AB174" s="335"/>
      <c r="AC174" s="335"/>
      <c r="AD174" s="335"/>
      <c r="AE174" s="335"/>
      <c r="AF174" s="335"/>
      <c r="AG174" s="335"/>
      <c r="AH174" s="335"/>
      <c r="AI174" s="335"/>
      <c r="AJ174" s="336"/>
      <c r="AK174" s="334"/>
      <c r="AL174" s="335"/>
      <c r="AM174" s="335"/>
      <c r="AN174" s="335"/>
      <c r="AO174" s="335"/>
      <c r="AP174" s="335"/>
      <c r="AQ174" s="335"/>
      <c r="AR174" s="335"/>
      <c r="AS174" s="335"/>
      <c r="AT174" s="335"/>
      <c r="AU174" s="335"/>
      <c r="AV174" s="335"/>
      <c r="AW174" s="335"/>
      <c r="AX174" s="335"/>
      <c r="AY174" s="336"/>
      <c r="AZ174" s="199"/>
      <c r="BA174" s="199"/>
      <c r="BB174" s="199"/>
      <c r="BC174" s="199"/>
    </row>
    <row r="175" spans="1:55" ht="15.75" x14ac:dyDescent="0.25">
      <c r="A175" s="1401"/>
      <c r="B175" s="352" t="s">
        <v>464</v>
      </c>
      <c r="C175" s="330"/>
      <c r="D175" s="331"/>
      <c r="E175" s="332"/>
      <c r="F175" s="332"/>
      <c r="G175" s="332"/>
      <c r="H175" s="332"/>
      <c r="I175" s="332"/>
      <c r="J175" s="332"/>
      <c r="K175" s="333"/>
      <c r="L175" s="334"/>
      <c r="M175" s="335"/>
      <c r="N175" s="335"/>
      <c r="O175" s="335"/>
      <c r="P175" s="335"/>
      <c r="Q175" s="335"/>
      <c r="R175" s="335"/>
      <c r="S175" s="335"/>
      <c r="T175" s="335"/>
      <c r="U175" s="336"/>
      <c r="V175" s="334"/>
      <c r="W175" s="335"/>
      <c r="X175" s="335"/>
      <c r="Y175" s="335"/>
      <c r="Z175" s="335"/>
      <c r="AA175" s="335"/>
      <c r="AB175" s="335"/>
      <c r="AC175" s="335"/>
      <c r="AD175" s="335"/>
      <c r="AE175" s="335"/>
      <c r="AF175" s="335"/>
      <c r="AG175" s="335"/>
      <c r="AH175" s="335"/>
      <c r="AI175" s="335"/>
      <c r="AJ175" s="336"/>
      <c r="AK175" s="334"/>
      <c r="AL175" s="335"/>
      <c r="AM175" s="335"/>
      <c r="AN175" s="335"/>
      <c r="AO175" s="335"/>
      <c r="AP175" s="335"/>
      <c r="AQ175" s="335"/>
      <c r="AR175" s="335"/>
      <c r="AS175" s="335"/>
      <c r="AT175" s="335"/>
      <c r="AU175" s="335"/>
      <c r="AV175" s="335"/>
      <c r="AW175" s="335"/>
      <c r="AX175" s="335"/>
      <c r="AY175" s="336"/>
      <c r="AZ175" s="199"/>
      <c r="BA175" s="199"/>
      <c r="BB175" s="199"/>
      <c r="BC175" s="199"/>
    </row>
    <row r="176" spans="1:55" ht="15.75" x14ac:dyDescent="0.25">
      <c r="A176" s="1401"/>
      <c r="B176" s="352" t="s">
        <v>656</v>
      </c>
      <c r="C176" s="330"/>
      <c r="D176" s="331"/>
      <c r="E176" s="332"/>
      <c r="F176" s="332"/>
      <c r="G176" s="332"/>
      <c r="H176" s="332"/>
      <c r="I176" s="332"/>
      <c r="J176" s="332"/>
      <c r="K176" s="333"/>
      <c r="L176" s="334"/>
      <c r="M176" s="335"/>
      <c r="N176" s="335"/>
      <c r="O176" s="335"/>
      <c r="P176" s="335"/>
      <c r="Q176" s="335"/>
      <c r="R176" s="335"/>
      <c r="S176" s="335"/>
      <c r="T176" s="335"/>
      <c r="U176" s="336"/>
      <c r="V176" s="334"/>
      <c r="W176" s="335"/>
      <c r="X176" s="335"/>
      <c r="Y176" s="335"/>
      <c r="Z176" s="335"/>
      <c r="AA176" s="335"/>
      <c r="AB176" s="335"/>
      <c r="AC176" s="335"/>
      <c r="AD176" s="335"/>
      <c r="AE176" s="335"/>
      <c r="AF176" s="335"/>
      <c r="AG176" s="335"/>
      <c r="AH176" s="335"/>
      <c r="AI176" s="335"/>
      <c r="AJ176" s="336"/>
      <c r="AK176" s="334"/>
      <c r="AL176" s="335"/>
      <c r="AM176" s="335"/>
      <c r="AN176" s="335"/>
      <c r="AO176" s="335"/>
      <c r="AP176" s="335"/>
      <c r="AQ176" s="335"/>
      <c r="AR176" s="335"/>
      <c r="AS176" s="335"/>
      <c r="AT176" s="335"/>
      <c r="AU176" s="335"/>
      <c r="AV176" s="335"/>
      <c r="AW176" s="335"/>
      <c r="AX176" s="335"/>
      <c r="AY176" s="336"/>
      <c r="AZ176" s="199"/>
      <c r="BA176" s="199"/>
      <c r="BB176" s="199"/>
      <c r="BC176" s="199"/>
    </row>
    <row r="177" spans="1:55" ht="15.75" x14ac:dyDescent="0.25">
      <c r="A177" s="1401"/>
      <c r="B177" s="352" t="s">
        <v>465</v>
      </c>
      <c r="C177" s="330"/>
      <c r="D177" s="331"/>
      <c r="E177" s="332"/>
      <c r="F177" s="332"/>
      <c r="G177" s="332"/>
      <c r="H177" s="332"/>
      <c r="I177" s="332"/>
      <c r="J177" s="332"/>
      <c r="K177" s="333"/>
      <c r="L177" s="334"/>
      <c r="M177" s="335"/>
      <c r="N177" s="335"/>
      <c r="O177" s="335"/>
      <c r="P177" s="335"/>
      <c r="Q177" s="335"/>
      <c r="R177" s="335"/>
      <c r="S177" s="335"/>
      <c r="T177" s="335"/>
      <c r="U177" s="336"/>
      <c r="V177" s="334"/>
      <c r="W177" s="335"/>
      <c r="X177" s="335"/>
      <c r="Y177" s="335"/>
      <c r="Z177" s="335"/>
      <c r="AA177" s="335"/>
      <c r="AB177" s="335"/>
      <c r="AC177" s="335"/>
      <c r="AD177" s="335"/>
      <c r="AE177" s="335"/>
      <c r="AF177" s="335"/>
      <c r="AG177" s="335"/>
      <c r="AH177" s="335"/>
      <c r="AI177" s="335"/>
      <c r="AJ177" s="336"/>
      <c r="AK177" s="334"/>
      <c r="AL177" s="335"/>
      <c r="AM177" s="335"/>
      <c r="AN177" s="335"/>
      <c r="AO177" s="335"/>
      <c r="AP177" s="335"/>
      <c r="AQ177" s="335"/>
      <c r="AR177" s="335"/>
      <c r="AS177" s="335"/>
      <c r="AT177" s="335"/>
      <c r="AU177" s="335"/>
      <c r="AV177" s="335"/>
      <c r="AW177" s="335"/>
      <c r="AX177" s="335"/>
      <c r="AY177" s="336"/>
      <c r="AZ177" s="199"/>
      <c r="BA177" s="199"/>
      <c r="BB177" s="199"/>
      <c r="BC177" s="199"/>
    </row>
    <row r="178" spans="1:55" ht="15.75" x14ac:dyDescent="0.25">
      <c r="A178" s="1401"/>
      <c r="B178" s="367" t="str">
        <f>IF(wp_custom1="", "", wp_custom1)</f>
        <v>W.P. #1</v>
      </c>
      <c r="C178" s="330"/>
      <c r="D178" s="331"/>
      <c r="E178" s="332"/>
      <c r="F178" s="332"/>
      <c r="G178" s="332"/>
      <c r="H178" s="332"/>
      <c r="I178" s="332"/>
      <c r="J178" s="332"/>
      <c r="K178" s="333"/>
      <c r="L178" s="334"/>
      <c r="M178" s="335"/>
      <c r="N178" s="335"/>
      <c r="O178" s="335"/>
      <c r="P178" s="335"/>
      <c r="Q178" s="335"/>
      <c r="R178" s="335"/>
      <c r="S178" s="335"/>
      <c r="T178" s="335"/>
      <c r="U178" s="336"/>
      <c r="V178" s="334"/>
      <c r="W178" s="335"/>
      <c r="X178" s="335"/>
      <c r="Y178" s="335"/>
      <c r="Z178" s="335"/>
      <c r="AA178" s="335"/>
      <c r="AB178" s="335"/>
      <c r="AC178" s="335"/>
      <c r="AD178" s="335"/>
      <c r="AE178" s="335"/>
      <c r="AF178" s="335"/>
      <c r="AG178" s="335"/>
      <c r="AH178" s="335"/>
      <c r="AI178" s="335"/>
      <c r="AJ178" s="336"/>
      <c r="AK178" s="334"/>
      <c r="AL178" s="335"/>
      <c r="AM178" s="335"/>
      <c r="AN178" s="335"/>
      <c r="AO178" s="335"/>
      <c r="AP178" s="335"/>
      <c r="AQ178" s="335"/>
      <c r="AR178" s="335"/>
      <c r="AS178" s="335"/>
      <c r="AT178" s="335"/>
      <c r="AU178" s="335"/>
      <c r="AV178" s="335"/>
      <c r="AW178" s="335"/>
      <c r="AX178" s="335"/>
      <c r="AY178" s="336"/>
      <c r="AZ178" s="199"/>
      <c r="BA178" s="199"/>
      <c r="BB178" s="199"/>
      <c r="BC178" s="199"/>
    </row>
    <row r="179" spans="1:55" ht="15.75" x14ac:dyDescent="0.25">
      <c r="A179" s="1401"/>
      <c r="B179" s="367" t="str">
        <f>IF(wp_custom2="", "", wp_custom2)</f>
        <v>W.P. #2</v>
      </c>
      <c r="C179" s="330"/>
      <c r="D179" s="331"/>
      <c r="E179" s="332"/>
      <c r="F179" s="332"/>
      <c r="G179" s="332"/>
      <c r="H179" s="332"/>
      <c r="I179" s="332"/>
      <c r="J179" s="332"/>
      <c r="K179" s="333"/>
      <c r="L179" s="334"/>
      <c r="M179" s="335"/>
      <c r="N179" s="335"/>
      <c r="O179" s="335"/>
      <c r="P179" s="335"/>
      <c r="Q179" s="335"/>
      <c r="R179" s="335"/>
      <c r="S179" s="335"/>
      <c r="T179" s="335"/>
      <c r="U179" s="336"/>
      <c r="V179" s="334"/>
      <c r="W179" s="335"/>
      <c r="X179" s="335"/>
      <c r="Y179" s="335"/>
      <c r="Z179" s="335"/>
      <c r="AA179" s="335"/>
      <c r="AB179" s="335"/>
      <c r="AC179" s="335"/>
      <c r="AD179" s="335"/>
      <c r="AE179" s="335"/>
      <c r="AF179" s="335"/>
      <c r="AG179" s="335"/>
      <c r="AH179" s="335"/>
      <c r="AI179" s="335"/>
      <c r="AJ179" s="336"/>
      <c r="AK179" s="334"/>
      <c r="AL179" s="335"/>
      <c r="AM179" s="335"/>
      <c r="AN179" s="335"/>
      <c r="AO179" s="335"/>
      <c r="AP179" s="335"/>
      <c r="AQ179" s="335"/>
      <c r="AR179" s="335"/>
      <c r="AS179" s="335"/>
      <c r="AT179" s="335"/>
      <c r="AU179" s="335"/>
      <c r="AV179" s="335"/>
      <c r="AW179" s="335"/>
      <c r="AX179" s="335"/>
      <c r="AY179" s="336"/>
      <c r="AZ179" s="199"/>
      <c r="BA179" s="199"/>
      <c r="BB179" s="199"/>
      <c r="BC179" s="199"/>
    </row>
    <row r="180" spans="1:55" ht="16.5" thickBot="1" x14ac:dyDescent="0.3">
      <c r="A180" s="1402"/>
      <c r="B180" s="368" t="str">
        <f>IF(wp_custom3="", "", wp_custom3)</f>
        <v>W.P. #3</v>
      </c>
      <c r="C180" s="338"/>
      <c r="D180" s="339"/>
      <c r="E180" s="340"/>
      <c r="F180" s="340"/>
      <c r="G180" s="340"/>
      <c r="H180" s="340"/>
      <c r="I180" s="340"/>
      <c r="J180" s="340"/>
      <c r="K180" s="341"/>
      <c r="L180" s="342"/>
      <c r="M180" s="343"/>
      <c r="N180" s="343"/>
      <c r="O180" s="343"/>
      <c r="P180" s="343"/>
      <c r="Q180" s="343"/>
      <c r="R180" s="343"/>
      <c r="S180" s="343"/>
      <c r="T180" s="343"/>
      <c r="U180" s="344"/>
      <c r="V180" s="342"/>
      <c r="W180" s="343"/>
      <c r="X180" s="343"/>
      <c r="Y180" s="343"/>
      <c r="Z180" s="343"/>
      <c r="AA180" s="343"/>
      <c r="AB180" s="343"/>
      <c r="AC180" s="343"/>
      <c r="AD180" s="343"/>
      <c r="AE180" s="343"/>
      <c r="AF180" s="343"/>
      <c r="AG180" s="343"/>
      <c r="AH180" s="343"/>
      <c r="AI180" s="343"/>
      <c r="AJ180" s="344"/>
      <c r="AK180" s="342"/>
      <c r="AL180" s="343"/>
      <c r="AM180" s="343"/>
      <c r="AN180" s="343"/>
      <c r="AO180" s="343"/>
      <c r="AP180" s="343"/>
      <c r="AQ180" s="343"/>
      <c r="AR180" s="343"/>
      <c r="AS180" s="343"/>
      <c r="AT180" s="343"/>
      <c r="AU180" s="343"/>
      <c r="AV180" s="343"/>
      <c r="AW180" s="343"/>
      <c r="AX180" s="343"/>
      <c r="AY180" s="344"/>
      <c r="AZ180" s="199"/>
      <c r="BA180" s="199"/>
      <c r="BB180" s="199"/>
      <c r="BC180" s="199"/>
    </row>
    <row r="181" spans="1:55" ht="15.75" x14ac:dyDescent="0.25">
      <c r="A181" s="1406" t="s">
        <v>467</v>
      </c>
      <c r="B181" s="319" t="s">
        <v>466</v>
      </c>
      <c r="C181" s="320"/>
      <c r="D181" s="321">
        <v>25</v>
      </c>
      <c r="E181" s="322"/>
      <c r="F181" s="322"/>
      <c r="G181" s="322">
        <v>5</v>
      </c>
      <c r="H181" s="322"/>
      <c r="I181" s="322">
        <f>IF(COUNTIF(skill_select, "*Carpentry*")&gt;0, 5, 0)</f>
        <v>0</v>
      </c>
      <c r="J181" s="322"/>
      <c r="K181" s="323"/>
      <c r="L181" s="324"/>
      <c r="M181" s="325"/>
      <c r="N181" s="325"/>
      <c r="O181" s="325"/>
      <c r="P181" s="325"/>
      <c r="Q181" s="325"/>
      <c r="R181" s="325"/>
      <c r="S181" s="325"/>
      <c r="T181" s="325"/>
      <c r="U181" s="326"/>
      <c r="V181" s="324"/>
      <c r="W181" s="325"/>
      <c r="X181" s="325"/>
      <c r="Y181" s="325"/>
      <c r="Z181" s="325"/>
      <c r="AA181" s="325"/>
      <c r="AB181" s="325"/>
      <c r="AC181" s="325"/>
      <c r="AD181" s="325"/>
      <c r="AE181" s="325"/>
      <c r="AF181" s="325"/>
      <c r="AG181" s="325"/>
      <c r="AH181" s="325"/>
      <c r="AI181" s="325"/>
      <c r="AJ181" s="326"/>
      <c r="AK181" s="324"/>
      <c r="AL181" s="325"/>
      <c r="AM181" s="325"/>
      <c r="AN181" s="325"/>
      <c r="AO181" s="325"/>
      <c r="AP181" s="325"/>
      <c r="AQ181" s="325"/>
      <c r="AR181" s="325"/>
      <c r="AS181" s="325"/>
      <c r="AT181" s="325"/>
      <c r="AU181" s="325"/>
      <c r="AV181" s="325"/>
      <c r="AW181" s="325"/>
      <c r="AX181" s="325"/>
      <c r="AY181" s="326"/>
      <c r="AZ181" s="199"/>
      <c r="BA181" s="199"/>
      <c r="BB181" s="199"/>
      <c r="BC181" s="199"/>
    </row>
    <row r="182" spans="1:55" ht="15.75" x14ac:dyDescent="0.25">
      <c r="A182" s="1407"/>
      <c r="B182" s="329" t="s">
        <v>468</v>
      </c>
      <c r="C182" s="330"/>
      <c r="D182" s="331">
        <v>25</v>
      </c>
      <c r="E182" s="332"/>
      <c r="F182" s="332"/>
      <c r="G182" s="332">
        <v>5</v>
      </c>
      <c r="H182" s="332"/>
      <c r="I182" s="332">
        <f>IF(COUNTIF(skill_select, "*Shipwright*")&gt;0, 5, 0)</f>
        <v>0</v>
      </c>
      <c r="J182" s="332"/>
      <c r="K182" s="333"/>
      <c r="L182" s="334"/>
      <c r="M182" s="335"/>
      <c r="N182" s="335"/>
      <c r="O182" s="335"/>
      <c r="P182" s="335"/>
      <c r="Q182" s="335"/>
      <c r="R182" s="335"/>
      <c r="S182" s="335"/>
      <c r="T182" s="335"/>
      <c r="U182" s="336"/>
      <c r="V182" s="334"/>
      <c r="W182" s="335"/>
      <c r="X182" s="335"/>
      <c r="Y182" s="335"/>
      <c r="Z182" s="335"/>
      <c r="AA182" s="335"/>
      <c r="AB182" s="335"/>
      <c r="AC182" s="335"/>
      <c r="AD182" s="335"/>
      <c r="AE182" s="335"/>
      <c r="AF182" s="335"/>
      <c r="AG182" s="335"/>
      <c r="AH182" s="335"/>
      <c r="AI182" s="335"/>
      <c r="AJ182" s="336"/>
      <c r="AK182" s="334"/>
      <c r="AL182" s="335"/>
      <c r="AM182" s="335"/>
      <c r="AN182" s="335"/>
      <c r="AO182" s="335"/>
      <c r="AP182" s="335"/>
      <c r="AQ182" s="335"/>
      <c r="AR182" s="335"/>
      <c r="AS182" s="335"/>
      <c r="AT182" s="335"/>
      <c r="AU182" s="335"/>
      <c r="AV182" s="335"/>
      <c r="AW182" s="335"/>
      <c r="AX182" s="335"/>
      <c r="AY182" s="336"/>
      <c r="AZ182" s="199"/>
      <c r="BA182" s="199"/>
      <c r="BB182" s="199"/>
      <c r="BC182" s="199"/>
    </row>
    <row r="183" spans="1:55" ht="15.75" x14ac:dyDescent="0.25">
      <c r="A183" s="1407"/>
      <c r="B183" s="329" t="s">
        <v>372</v>
      </c>
      <c r="C183" s="330"/>
      <c r="D183" s="331">
        <v>27</v>
      </c>
      <c r="E183" s="332"/>
      <c r="F183" s="332"/>
      <c r="G183" s="332">
        <v>3</v>
      </c>
      <c r="H183" s="332"/>
      <c r="I183" s="332"/>
      <c r="J183" s="332"/>
      <c r="K183" s="333"/>
      <c r="L183" s="334"/>
      <c r="M183" s="335"/>
      <c r="N183" s="335"/>
      <c r="O183" s="335"/>
      <c r="P183" s="335"/>
      <c r="Q183" s="335"/>
      <c r="R183" s="335"/>
      <c r="S183" s="335"/>
      <c r="T183" s="335"/>
      <c r="U183" s="336"/>
      <c r="V183" s="334"/>
      <c r="W183" s="335"/>
      <c r="X183" s="335"/>
      <c r="Y183" s="335"/>
      <c r="Z183" s="335"/>
      <c r="AA183" s="335"/>
      <c r="AB183" s="335"/>
      <c r="AC183" s="335"/>
      <c r="AD183" s="335"/>
      <c r="AE183" s="335"/>
      <c r="AF183" s="335"/>
      <c r="AG183" s="335"/>
      <c r="AH183" s="335"/>
      <c r="AI183" s="335"/>
      <c r="AJ183" s="336"/>
      <c r="AK183" s="334"/>
      <c r="AL183" s="335"/>
      <c r="AM183" s="335"/>
      <c r="AN183" s="335"/>
      <c r="AO183" s="335"/>
      <c r="AP183" s="335"/>
      <c r="AQ183" s="335"/>
      <c r="AR183" s="335"/>
      <c r="AS183" s="335"/>
      <c r="AT183" s="335"/>
      <c r="AU183" s="335"/>
      <c r="AV183" s="335"/>
      <c r="AW183" s="335"/>
      <c r="AX183" s="335"/>
      <c r="AY183" s="336"/>
      <c r="AZ183" s="199"/>
      <c r="BA183" s="199"/>
      <c r="BB183" s="199"/>
      <c r="BC183" s="199"/>
    </row>
    <row r="184" spans="1:55" ht="15.75" x14ac:dyDescent="0.25">
      <c r="A184" s="1407"/>
      <c r="B184" s="329" t="s">
        <v>469</v>
      </c>
      <c r="C184" s="330"/>
      <c r="D184" s="331">
        <v>20</v>
      </c>
      <c r="E184" s="332"/>
      <c r="F184" s="332"/>
      <c r="G184" s="332">
        <v>5</v>
      </c>
      <c r="H184" s="332"/>
      <c r="I184" s="332">
        <f>IF(COUNTIF(skill_select, "*Outdoorsmanship*")&gt;0, 5, 0)+IF(COUNTIF(skill_select, "*Excavation*")&gt;0, 5, 0)</f>
        <v>0</v>
      </c>
      <c r="J184" s="332"/>
      <c r="K184" s="333"/>
      <c r="L184" s="334"/>
      <c r="M184" s="335"/>
      <c r="N184" s="335"/>
      <c r="O184" s="335"/>
      <c r="P184" s="335"/>
      <c r="Q184" s="335"/>
      <c r="R184" s="335"/>
      <c r="S184" s="335"/>
      <c r="T184" s="335"/>
      <c r="U184" s="336"/>
      <c r="V184" s="334"/>
      <c r="W184" s="335"/>
      <c r="X184" s="335"/>
      <c r="Y184" s="335"/>
      <c r="Z184" s="335"/>
      <c r="AA184" s="335"/>
      <c r="AB184" s="335"/>
      <c r="AC184" s="335"/>
      <c r="AD184" s="335"/>
      <c r="AE184" s="335"/>
      <c r="AF184" s="335"/>
      <c r="AG184" s="335"/>
      <c r="AH184" s="335"/>
      <c r="AI184" s="335"/>
      <c r="AJ184" s="336"/>
      <c r="AK184" s="334"/>
      <c r="AL184" s="335"/>
      <c r="AM184" s="335"/>
      <c r="AN184" s="335"/>
      <c r="AO184" s="335"/>
      <c r="AP184" s="335"/>
      <c r="AQ184" s="335"/>
      <c r="AR184" s="335"/>
      <c r="AS184" s="335"/>
      <c r="AT184" s="335"/>
      <c r="AU184" s="335"/>
      <c r="AV184" s="335"/>
      <c r="AW184" s="335"/>
      <c r="AX184" s="335"/>
      <c r="AY184" s="336"/>
      <c r="AZ184" s="199"/>
      <c r="BA184" s="199"/>
      <c r="BB184" s="199"/>
      <c r="BC184" s="199"/>
    </row>
    <row r="185" spans="1:55" ht="15.75" x14ac:dyDescent="0.25">
      <c r="A185" s="1407"/>
      <c r="B185" s="329" t="s">
        <v>415</v>
      </c>
      <c r="C185" s="330"/>
      <c r="D185" s="331">
        <v>30</v>
      </c>
      <c r="E185" s="332"/>
      <c r="F185" s="332"/>
      <c r="G185" s="332">
        <v>5</v>
      </c>
      <c r="H185" s="332"/>
      <c r="I185" s="332"/>
      <c r="J185" s="332"/>
      <c r="K185" s="333"/>
      <c r="L185" s="334"/>
      <c r="M185" s="335"/>
      <c r="N185" s="335"/>
      <c r="O185" s="335"/>
      <c r="P185" s="335"/>
      <c r="Q185" s="335"/>
      <c r="R185" s="335"/>
      <c r="S185" s="335"/>
      <c r="T185" s="335"/>
      <c r="U185" s="336"/>
      <c r="V185" s="334"/>
      <c r="W185" s="335"/>
      <c r="X185" s="335"/>
      <c r="Y185" s="335"/>
      <c r="Z185" s="335"/>
      <c r="AA185" s="335"/>
      <c r="AB185" s="335"/>
      <c r="AC185" s="335"/>
      <c r="AD185" s="335"/>
      <c r="AE185" s="335"/>
      <c r="AF185" s="335"/>
      <c r="AG185" s="335"/>
      <c r="AH185" s="335"/>
      <c r="AI185" s="335"/>
      <c r="AJ185" s="336"/>
      <c r="AK185" s="334"/>
      <c r="AL185" s="335"/>
      <c r="AM185" s="335"/>
      <c r="AN185" s="335"/>
      <c r="AO185" s="335"/>
      <c r="AP185" s="335"/>
      <c r="AQ185" s="335"/>
      <c r="AR185" s="335"/>
      <c r="AS185" s="335"/>
      <c r="AT185" s="335"/>
      <c r="AU185" s="335"/>
      <c r="AV185" s="335"/>
      <c r="AW185" s="335"/>
      <c r="AX185" s="335"/>
      <c r="AY185" s="336"/>
      <c r="AZ185" s="199"/>
      <c r="BA185" s="199"/>
      <c r="BB185" s="199"/>
      <c r="BC185" s="199"/>
    </row>
    <row r="186" spans="1:55" ht="15.75" x14ac:dyDescent="0.25">
      <c r="A186" s="1407"/>
      <c r="B186" s="329" t="s">
        <v>470</v>
      </c>
      <c r="C186" s="330"/>
      <c r="D186" s="331"/>
      <c r="E186" s="332"/>
      <c r="F186" s="332"/>
      <c r="G186" s="332"/>
      <c r="H186" s="332"/>
      <c r="I186" s="332"/>
      <c r="J186" s="332"/>
      <c r="K186" s="333"/>
      <c r="L186" s="334"/>
      <c r="M186" s="335"/>
      <c r="N186" s="335"/>
      <c r="O186" s="335"/>
      <c r="P186" s="335"/>
      <c r="Q186" s="335"/>
      <c r="R186" s="335"/>
      <c r="S186" s="335"/>
      <c r="T186" s="335"/>
      <c r="U186" s="336"/>
      <c r="V186" s="334"/>
      <c r="W186" s="335"/>
      <c r="X186" s="335"/>
      <c r="Y186" s="335"/>
      <c r="Z186" s="335"/>
      <c r="AA186" s="335"/>
      <c r="AB186" s="335"/>
      <c r="AC186" s="335"/>
      <c r="AD186" s="335"/>
      <c r="AE186" s="335"/>
      <c r="AF186" s="335"/>
      <c r="AG186" s="335"/>
      <c r="AH186" s="335"/>
      <c r="AI186" s="335"/>
      <c r="AJ186" s="336"/>
      <c r="AK186" s="334"/>
      <c r="AL186" s="335"/>
      <c r="AM186" s="335"/>
      <c r="AN186" s="335"/>
      <c r="AO186" s="335"/>
      <c r="AP186" s="335"/>
      <c r="AQ186" s="335"/>
      <c r="AR186" s="335"/>
      <c r="AS186" s="335"/>
      <c r="AT186" s="335"/>
      <c r="AU186" s="335"/>
      <c r="AV186" s="335"/>
      <c r="AW186" s="335"/>
      <c r="AX186" s="335"/>
      <c r="AY186" s="336"/>
      <c r="AZ186" s="199"/>
      <c r="BA186" s="199"/>
      <c r="BB186" s="199"/>
      <c r="BC186" s="199"/>
    </row>
    <row r="187" spans="1:55" ht="15.75" x14ac:dyDescent="0.25">
      <c r="A187" s="1407"/>
      <c r="B187" s="329" t="s">
        <v>471</v>
      </c>
      <c r="C187" s="330"/>
      <c r="D187" s="331">
        <v>25</v>
      </c>
      <c r="E187" s="332"/>
      <c r="F187" s="332"/>
      <c r="G187" s="332">
        <v>5</v>
      </c>
      <c r="H187" s="332"/>
      <c r="I187" s="332">
        <f>IF(COUNTIF(skill_select, "*Holistic Chemistry*")&gt;0, 5, 0)+IF(COUNTIF(skill_select, "*Outdoorsmanship*")&gt;0, 5, 0)</f>
        <v>0</v>
      </c>
      <c r="J187" s="332"/>
      <c r="K187" s="333"/>
      <c r="L187" s="334"/>
      <c r="M187" s="335"/>
      <c r="N187" s="335"/>
      <c r="O187" s="335"/>
      <c r="P187" s="335"/>
      <c r="Q187" s="335"/>
      <c r="R187" s="335"/>
      <c r="S187" s="335"/>
      <c r="T187" s="335"/>
      <c r="U187" s="336"/>
      <c r="V187" s="334"/>
      <c r="W187" s="335"/>
      <c r="X187" s="335"/>
      <c r="Y187" s="335"/>
      <c r="Z187" s="335"/>
      <c r="AA187" s="335"/>
      <c r="AB187" s="335"/>
      <c r="AC187" s="335"/>
      <c r="AD187" s="335"/>
      <c r="AE187" s="335"/>
      <c r="AF187" s="335"/>
      <c r="AG187" s="335"/>
      <c r="AH187" s="335"/>
      <c r="AI187" s="335"/>
      <c r="AJ187" s="336"/>
      <c r="AK187" s="334"/>
      <c r="AL187" s="335"/>
      <c r="AM187" s="335"/>
      <c r="AN187" s="335"/>
      <c r="AO187" s="335"/>
      <c r="AP187" s="335"/>
      <c r="AQ187" s="335"/>
      <c r="AR187" s="335"/>
      <c r="AS187" s="335"/>
      <c r="AT187" s="335"/>
      <c r="AU187" s="335"/>
      <c r="AV187" s="335"/>
      <c r="AW187" s="335"/>
      <c r="AX187" s="335"/>
      <c r="AY187" s="336"/>
      <c r="AZ187" s="199"/>
      <c r="BA187" s="199"/>
      <c r="BB187" s="199"/>
      <c r="BC187" s="199"/>
    </row>
    <row r="188" spans="1:55" ht="15.75" x14ac:dyDescent="0.25">
      <c r="A188" s="1407"/>
      <c r="B188" s="329" t="s">
        <v>375</v>
      </c>
      <c r="C188" s="330"/>
      <c r="D188" s="331">
        <v>27</v>
      </c>
      <c r="E188" s="332"/>
      <c r="F188" s="332"/>
      <c r="G188" s="332">
        <v>4</v>
      </c>
      <c r="H188" s="332"/>
      <c r="I188" s="332"/>
      <c r="J188" s="332"/>
      <c r="K188" s="333"/>
      <c r="L188" s="334"/>
      <c r="M188" s="335"/>
      <c r="N188" s="335"/>
      <c r="O188" s="335"/>
      <c r="P188" s="335"/>
      <c r="Q188" s="335"/>
      <c r="R188" s="335"/>
      <c r="S188" s="335"/>
      <c r="T188" s="335"/>
      <c r="U188" s="336"/>
      <c r="V188" s="334"/>
      <c r="W188" s="335"/>
      <c r="X188" s="335"/>
      <c r="Y188" s="335"/>
      <c r="Z188" s="335"/>
      <c r="AA188" s="335"/>
      <c r="AB188" s="335"/>
      <c r="AC188" s="335"/>
      <c r="AD188" s="335"/>
      <c r="AE188" s="335"/>
      <c r="AF188" s="335"/>
      <c r="AG188" s="335"/>
      <c r="AH188" s="335"/>
      <c r="AI188" s="335"/>
      <c r="AJ188" s="336"/>
      <c r="AK188" s="334"/>
      <c r="AL188" s="335"/>
      <c r="AM188" s="335"/>
      <c r="AN188" s="335"/>
      <c r="AO188" s="335"/>
      <c r="AP188" s="335"/>
      <c r="AQ188" s="335"/>
      <c r="AR188" s="335"/>
      <c r="AS188" s="335"/>
      <c r="AT188" s="335"/>
      <c r="AU188" s="335"/>
      <c r="AV188" s="335"/>
      <c r="AW188" s="335"/>
      <c r="AX188" s="335"/>
      <c r="AY188" s="336"/>
      <c r="AZ188" s="199"/>
      <c r="BA188" s="199"/>
      <c r="BB188" s="199"/>
      <c r="BC188" s="199"/>
    </row>
    <row r="189" spans="1:55" ht="15.75" x14ac:dyDescent="0.25">
      <c r="A189" s="1407"/>
      <c r="B189" s="329" t="s">
        <v>472</v>
      </c>
      <c r="C189" s="330"/>
      <c r="D189" s="331">
        <v>30</v>
      </c>
      <c r="E189" s="332"/>
      <c r="F189" s="332"/>
      <c r="G189" s="332">
        <v>4</v>
      </c>
      <c r="H189" s="332"/>
      <c r="I189" s="332"/>
      <c r="J189" s="332"/>
      <c r="K189" s="333"/>
      <c r="L189" s="334"/>
      <c r="M189" s="335"/>
      <c r="N189" s="335"/>
      <c r="O189" s="335"/>
      <c r="P189" s="335"/>
      <c r="Q189" s="335"/>
      <c r="R189" s="335"/>
      <c r="S189" s="335"/>
      <c r="T189" s="335"/>
      <c r="U189" s="336"/>
      <c r="V189" s="334"/>
      <c r="W189" s="335"/>
      <c r="X189" s="335"/>
      <c r="Y189" s="335"/>
      <c r="Z189" s="335"/>
      <c r="AA189" s="335"/>
      <c r="AB189" s="335"/>
      <c r="AC189" s="335"/>
      <c r="AD189" s="335"/>
      <c r="AE189" s="335"/>
      <c r="AF189" s="335"/>
      <c r="AG189" s="335"/>
      <c r="AH189" s="335"/>
      <c r="AI189" s="335"/>
      <c r="AJ189" s="336"/>
      <c r="AK189" s="334"/>
      <c r="AL189" s="335"/>
      <c r="AM189" s="335"/>
      <c r="AN189" s="335"/>
      <c r="AO189" s="335"/>
      <c r="AP189" s="335"/>
      <c r="AQ189" s="335"/>
      <c r="AR189" s="335"/>
      <c r="AS189" s="335"/>
      <c r="AT189" s="335"/>
      <c r="AU189" s="335"/>
      <c r="AV189" s="335"/>
      <c r="AW189" s="335"/>
      <c r="AX189" s="335"/>
      <c r="AY189" s="336"/>
      <c r="AZ189" s="199"/>
      <c r="BA189" s="199"/>
      <c r="BB189" s="199"/>
      <c r="BC189" s="199"/>
    </row>
    <row r="190" spans="1:55" ht="15.75" x14ac:dyDescent="0.25">
      <c r="A190" s="1407"/>
      <c r="B190" s="329" t="s">
        <v>473</v>
      </c>
      <c r="C190" s="330"/>
      <c r="D190" s="331">
        <v>30</v>
      </c>
      <c r="E190" s="332"/>
      <c r="F190" s="332"/>
      <c r="G190" s="332">
        <v>5</v>
      </c>
      <c r="H190" s="332"/>
      <c r="I190" s="332">
        <f>IF(COUNTIF(skill_select, "*Holistic Medicine*")&gt;0, 10, 0)</f>
        <v>0</v>
      </c>
      <c r="J190" s="332"/>
      <c r="K190" s="333"/>
      <c r="L190" s="334"/>
      <c r="M190" s="335"/>
      <c r="N190" s="335"/>
      <c r="O190" s="335"/>
      <c r="P190" s="335"/>
      <c r="Q190" s="335"/>
      <c r="R190" s="335"/>
      <c r="S190" s="335"/>
      <c r="T190" s="335"/>
      <c r="U190" s="336"/>
      <c r="V190" s="334"/>
      <c r="W190" s="335"/>
      <c r="X190" s="335"/>
      <c r="Y190" s="335"/>
      <c r="Z190" s="335"/>
      <c r="AA190" s="335"/>
      <c r="AB190" s="335"/>
      <c r="AC190" s="335"/>
      <c r="AD190" s="335"/>
      <c r="AE190" s="335"/>
      <c r="AF190" s="335"/>
      <c r="AG190" s="335"/>
      <c r="AH190" s="335"/>
      <c r="AI190" s="335"/>
      <c r="AJ190" s="336"/>
      <c r="AK190" s="334"/>
      <c r="AL190" s="335"/>
      <c r="AM190" s="335"/>
      <c r="AN190" s="335"/>
      <c r="AO190" s="335"/>
      <c r="AP190" s="335"/>
      <c r="AQ190" s="335"/>
      <c r="AR190" s="335"/>
      <c r="AS190" s="335"/>
      <c r="AT190" s="335"/>
      <c r="AU190" s="335"/>
      <c r="AV190" s="335"/>
      <c r="AW190" s="335"/>
      <c r="AX190" s="335"/>
      <c r="AY190" s="336"/>
      <c r="AZ190" s="199"/>
      <c r="BA190" s="199"/>
      <c r="BB190" s="199"/>
      <c r="BC190" s="199"/>
    </row>
    <row r="191" spans="1:55" ht="15.75" x14ac:dyDescent="0.25">
      <c r="A191" s="1407"/>
      <c r="B191" s="329" t="s">
        <v>474</v>
      </c>
      <c r="C191" s="330"/>
      <c r="D191" s="331">
        <v>30</v>
      </c>
      <c r="E191" s="332"/>
      <c r="F191" s="332"/>
      <c r="G191" s="332">
        <v>5</v>
      </c>
      <c r="H191" s="332"/>
      <c r="I191" s="332">
        <f>IF(COUNTIF(skill_select, "*Hunting*")&gt;0, 5, 0)</f>
        <v>0</v>
      </c>
      <c r="J191" s="332"/>
      <c r="K191" s="333"/>
      <c r="L191" s="334"/>
      <c r="M191" s="335"/>
      <c r="N191" s="335"/>
      <c r="O191" s="335"/>
      <c r="P191" s="335"/>
      <c r="Q191" s="335"/>
      <c r="R191" s="335"/>
      <c r="S191" s="335"/>
      <c r="T191" s="335"/>
      <c r="U191" s="336"/>
      <c r="V191" s="334"/>
      <c r="W191" s="335"/>
      <c r="X191" s="335"/>
      <c r="Y191" s="335"/>
      <c r="Z191" s="335"/>
      <c r="AA191" s="335"/>
      <c r="AB191" s="335"/>
      <c r="AC191" s="335"/>
      <c r="AD191" s="335"/>
      <c r="AE191" s="335"/>
      <c r="AF191" s="335"/>
      <c r="AG191" s="335"/>
      <c r="AH191" s="335"/>
      <c r="AI191" s="335"/>
      <c r="AJ191" s="336"/>
      <c r="AK191" s="334"/>
      <c r="AL191" s="335"/>
      <c r="AM191" s="335"/>
      <c r="AN191" s="335"/>
      <c r="AO191" s="335"/>
      <c r="AP191" s="335"/>
      <c r="AQ191" s="335"/>
      <c r="AR191" s="335"/>
      <c r="AS191" s="335"/>
      <c r="AT191" s="335"/>
      <c r="AU191" s="335"/>
      <c r="AV191" s="335"/>
      <c r="AW191" s="335"/>
      <c r="AX191" s="335"/>
      <c r="AY191" s="336"/>
      <c r="AZ191" s="199"/>
      <c r="BA191" s="199"/>
      <c r="BB191" s="199"/>
      <c r="BC191" s="199"/>
    </row>
    <row r="192" spans="1:55" ht="15.75" x14ac:dyDescent="0.25">
      <c r="A192" s="1407"/>
      <c r="B192" s="329" t="s">
        <v>475</v>
      </c>
      <c r="C192" s="330"/>
      <c r="D192" s="331">
        <v>35</v>
      </c>
      <c r="E192" s="332"/>
      <c r="F192" s="332"/>
      <c r="G192" s="332">
        <v>5</v>
      </c>
      <c r="H192" s="332"/>
      <c r="I192" s="332">
        <f>IF(COUNTIF(skill_select, "*Climb*")&gt;0, 5, 0)</f>
        <v>0</v>
      </c>
      <c r="J192" s="332"/>
      <c r="K192" s="333"/>
      <c r="L192" s="334"/>
      <c r="M192" s="335"/>
      <c r="N192" s="335"/>
      <c r="O192" s="335"/>
      <c r="P192" s="335"/>
      <c r="Q192" s="335"/>
      <c r="R192" s="335"/>
      <c r="S192" s="335"/>
      <c r="T192" s="335"/>
      <c r="U192" s="336"/>
      <c r="V192" s="334"/>
      <c r="W192" s="335"/>
      <c r="X192" s="335"/>
      <c r="Y192" s="335"/>
      <c r="Z192" s="335"/>
      <c r="AA192" s="335"/>
      <c r="AB192" s="335"/>
      <c r="AC192" s="335"/>
      <c r="AD192" s="335"/>
      <c r="AE192" s="335"/>
      <c r="AF192" s="335"/>
      <c r="AG192" s="335"/>
      <c r="AH192" s="335"/>
      <c r="AI192" s="335"/>
      <c r="AJ192" s="336"/>
      <c r="AK192" s="334"/>
      <c r="AL192" s="335"/>
      <c r="AM192" s="335"/>
      <c r="AN192" s="335"/>
      <c r="AO192" s="335"/>
      <c r="AP192" s="335"/>
      <c r="AQ192" s="335"/>
      <c r="AR192" s="335"/>
      <c r="AS192" s="335"/>
      <c r="AT192" s="335"/>
      <c r="AU192" s="335"/>
      <c r="AV192" s="335"/>
      <c r="AW192" s="335"/>
      <c r="AX192" s="335"/>
      <c r="AY192" s="336"/>
      <c r="AZ192" s="199"/>
      <c r="BA192" s="199"/>
      <c r="BB192" s="199"/>
      <c r="BC192" s="199"/>
    </row>
    <row r="193" spans="1:55" ht="15.75" x14ac:dyDescent="0.25">
      <c r="A193" s="1407"/>
      <c r="B193" s="329" t="s">
        <v>476</v>
      </c>
      <c r="C193" s="330"/>
      <c r="D193" s="331">
        <v>20</v>
      </c>
      <c r="E193" s="332">
        <v>30</v>
      </c>
      <c r="F193" s="332"/>
      <c r="G193" s="332">
        <v>5</v>
      </c>
      <c r="H193" s="332"/>
      <c r="I193" s="332">
        <f>IF(COUNTIF(skill_select, "*Hunting*")&gt;0, 5, 0)</f>
        <v>0</v>
      </c>
      <c r="J193" s="332"/>
      <c r="K193" s="333"/>
      <c r="L193" s="334"/>
      <c r="M193" s="335"/>
      <c r="N193" s="335"/>
      <c r="O193" s="335"/>
      <c r="P193" s="335"/>
      <c r="Q193" s="335"/>
      <c r="R193" s="335"/>
      <c r="S193" s="335"/>
      <c r="T193" s="335"/>
      <c r="U193" s="336"/>
      <c r="V193" s="334"/>
      <c r="W193" s="335"/>
      <c r="X193" s="335"/>
      <c r="Y193" s="335"/>
      <c r="Z193" s="335"/>
      <c r="AA193" s="335"/>
      <c r="AB193" s="335"/>
      <c r="AC193" s="335"/>
      <c r="AD193" s="335"/>
      <c r="AE193" s="335"/>
      <c r="AF193" s="335"/>
      <c r="AG193" s="335"/>
      <c r="AH193" s="335"/>
      <c r="AI193" s="335"/>
      <c r="AJ193" s="336"/>
      <c r="AK193" s="334"/>
      <c r="AL193" s="335"/>
      <c r="AM193" s="335"/>
      <c r="AN193" s="335"/>
      <c r="AO193" s="335"/>
      <c r="AP193" s="335"/>
      <c r="AQ193" s="335"/>
      <c r="AR193" s="335"/>
      <c r="AS193" s="335"/>
      <c r="AT193" s="335"/>
      <c r="AU193" s="335"/>
      <c r="AV193" s="335"/>
      <c r="AW193" s="335"/>
      <c r="AX193" s="335"/>
      <c r="AY193" s="336"/>
      <c r="AZ193" s="199"/>
      <c r="BA193" s="199"/>
      <c r="BB193" s="199"/>
      <c r="BC193" s="199"/>
    </row>
    <row r="194" spans="1:55" ht="16.5" thickBot="1" x14ac:dyDescent="0.3">
      <c r="A194" s="1408"/>
      <c r="B194" s="358" t="s">
        <v>477</v>
      </c>
      <c r="C194" s="354"/>
      <c r="D194" s="359">
        <v>30</v>
      </c>
      <c r="E194" s="360"/>
      <c r="F194" s="360"/>
      <c r="G194" s="360">
        <v>5</v>
      </c>
      <c r="H194" s="360"/>
      <c r="I194" s="360">
        <f>IF(COUNTIF(skill_select, "*Outdoorsmanship*")&gt;0, 5, 0)</f>
        <v>0</v>
      </c>
      <c r="J194" s="360"/>
      <c r="K194" s="361"/>
      <c r="L194" s="345"/>
      <c r="M194" s="346"/>
      <c r="N194" s="346"/>
      <c r="O194" s="346"/>
      <c r="P194" s="346"/>
      <c r="Q194" s="346"/>
      <c r="R194" s="346"/>
      <c r="S194" s="346"/>
      <c r="T194" s="346"/>
      <c r="U194" s="347"/>
      <c r="V194" s="345"/>
      <c r="W194" s="346"/>
      <c r="X194" s="346"/>
      <c r="Y194" s="346"/>
      <c r="Z194" s="346"/>
      <c r="AA194" s="346"/>
      <c r="AB194" s="346"/>
      <c r="AC194" s="346"/>
      <c r="AD194" s="346"/>
      <c r="AE194" s="346"/>
      <c r="AF194" s="346"/>
      <c r="AG194" s="346"/>
      <c r="AH194" s="346"/>
      <c r="AI194" s="346"/>
      <c r="AJ194" s="347"/>
      <c r="AK194" s="345"/>
      <c r="AL194" s="346"/>
      <c r="AM194" s="346"/>
      <c r="AN194" s="346"/>
      <c r="AO194" s="346"/>
      <c r="AP194" s="346"/>
      <c r="AQ194" s="346"/>
      <c r="AR194" s="346"/>
      <c r="AS194" s="346"/>
      <c r="AT194" s="346"/>
      <c r="AU194" s="346"/>
      <c r="AV194" s="346"/>
      <c r="AW194" s="346"/>
      <c r="AX194" s="346"/>
      <c r="AY194" s="347"/>
      <c r="AZ194" s="199"/>
      <c r="BA194" s="199"/>
      <c r="BB194" s="199"/>
      <c r="BC194" s="199"/>
    </row>
    <row r="195" spans="1:55" x14ac:dyDescent="0.25">
      <c r="A195" s="1397" t="s">
        <v>663</v>
      </c>
      <c r="B195" s="446" t="str">
        <f>IF(Customize!J33="", "", Customize!J33)</f>
        <v/>
      </c>
      <c r="C195" s="497"/>
      <c r="D195" s="364" t="str">
        <f>IF(Customize!N33="", "", Customize!N33)</f>
        <v/>
      </c>
      <c r="E195" s="365" t="str">
        <f>IF(Customize!O33="", "", Customize!O33)</f>
        <v/>
      </c>
      <c r="F195" s="365" t="str">
        <f>IF(Customize!P33="", "", Customize!P33)</f>
        <v/>
      </c>
      <c r="G195" s="365" t="str">
        <f>IF(Customize!Q33="", "", Customize!Q33)</f>
        <v/>
      </c>
      <c r="H195" s="365"/>
      <c r="I195" s="365"/>
      <c r="J195" s="365"/>
      <c r="K195" s="366"/>
      <c r="L195" s="349"/>
      <c r="M195" s="350"/>
      <c r="N195" s="350"/>
      <c r="O195" s="350"/>
      <c r="P195" s="350"/>
      <c r="Q195" s="350"/>
      <c r="R195" s="350"/>
      <c r="S195" s="350"/>
      <c r="T195" s="350"/>
      <c r="U195" s="351"/>
      <c r="V195" s="349"/>
      <c r="W195" s="350"/>
      <c r="X195" s="350"/>
      <c r="Y195" s="350"/>
      <c r="Z195" s="350"/>
      <c r="AA195" s="350"/>
      <c r="AB195" s="350"/>
      <c r="AC195" s="350"/>
      <c r="AD195" s="350"/>
      <c r="AE195" s="350"/>
      <c r="AF195" s="350"/>
      <c r="AG195" s="350"/>
      <c r="AH195" s="350"/>
      <c r="AI195" s="350"/>
      <c r="AJ195" s="351"/>
      <c r="AK195" s="349"/>
      <c r="AL195" s="350"/>
      <c r="AM195" s="350"/>
      <c r="AN195" s="350"/>
      <c r="AO195" s="350"/>
      <c r="AP195" s="350"/>
      <c r="AQ195" s="350"/>
      <c r="AR195" s="350"/>
      <c r="AS195" s="350"/>
      <c r="AT195" s="350"/>
      <c r="AU195" s="350"/>
      <c r="AV195" s="350"/>
      <c r="AW195" s="350"/>
      <c r="AX195" s="350"/>
      <c r="AY195" s="351"/>
      <c r="AZ195" s="199"/>
      <c r="BA195" s="199"/>
      <c r="BB195" s="199"/>
      <c r="BC195" s="199"/>
    </row>
    <row r="196" spans="1:55" x14ac:dyDescent="0.25">
      <c r="A196" s="1398"/>
      <c r="B196" s="447" t="str">
        <f>IF(Customize!J34="", "", Customize!J34)</f>
        <v/>
      </c>
      <c r="C196" s="498"/>
      <c r="D196" s="331" t="str">
        <f>IF(Customize!N34="", "", Customize!N34)</f>
        <v/>
      </c>
      <c r="E196" s="332" t="str">
        <f>IF(Customize!O34="", "", Customize!O34)</f>
        <v/>
      </c>
      <c r="F196" s="332" t="str">
        <f>IF(Customize!P34="", "", Customize!P34)</f>
        <v/>
      </c>
      <c r="G196" s="332" t="str">
        <f>IF(Customize!Q34="", "", Customize!Q34)</f>
        <v/>
      </c>
      <c r="H196" s="332"/>
      <c r="I196" s="332"/>
      <c r="J196" s="332"/>
      <c r="K196" s="333"/>
      <c r="L196" s="334"/>
      <c r="M196" s="335"/>
      <c r="N196" s="335"/>
      <c r="O196" s="335"/>
      <c r="P196" s="335"/>
      <c r="Q196" s="335"/>
      <c r="R196" s="335"/>
      <c r="S196" s="335"/>
      <c r="T196" s="335"/>
      <c r="U196" s="336"/>
      <c r="V196" s="334"/>
      <c r="W196" s="335"/>
      <c r="X196" s="335"/>
      <c r="Y196" s="335"/>
      <c r="Z196" s="335"/>
      <c r="AA196" s="335"/>
      <c r="AB196" s="335"/>
      <c r="AC196" s="335"/>
      <c r="AD196" s="335"/>
      <c r="AE196" s="335"/>
      <c r="AF196" s="335"/>
      <c r="AG196" s="335"/>
      <c r="AH196" s="335"/>
      <c r="AI196" s="335"/>
      <c r="AJ196" s="336"/>
      <c r="AK196" s="334"/>
      <c r="AL196" s="335"/>
      <c r="AM196" s="335"/>
      <c r="AN196" s="335"/>
      <c r="AO196" s="335"/>
      <c r="AP196" s="335"/>
      <c r="AQ196" s="335"/>
      <c r="AR196" s="335"/>
      <c r="AS196" s="335"/>
      <c r="AT196" s="335"/>
      <c r="AU196" s="335"/>
      <c r="AV196" s="335"/>
      <c r="AW196" s="335"/>
      <c r="AX196" s="335"/>
      <c r="AY196" s="336"/>
      <c r="AZ196" s="199"/>
      <c r="BA196" s="199"/>
      <c r="BB196" s="199"/>
      <c r="BC196" s="199"/>
    </row>
    <row r="197" spans="1:55" x14ac:dyDescent="0.25">
      <c r="A197" s="1398"/>
      <c r="B197" s="447" t="str">
        <f>IF(Customize!J35="", "", Customize!J35)</f>
        <v/>
      </c>
      <c r="C197" s="498"/>
      <c r="D197" s="331" t="str">
        <f>IF(Customize!N35="", "", Customize!N35)</f>
        <v/>
      </c>
      <c r="E197" s="332" t="str">
        <f>IF(Customize!O35="", "", Customize!O35)</f>
        <v/>
      </c>
      <c r="F197" s="332" t="str">
        <f>IF(Customize!P35="", "", Customize!P35)</f>
        <v/>
      </c>
      <c r="G197" s="332" t="str">
        <f>IF(Customize!Q35="", "", Customize!Q35)</f>
        <v/>
      </c>
      <c r="H197" s="332"/>
      <c r="I197" s="332"/>
      <c r="J197" s="332"/>
      <c r="K197" s="333"/>
      <c r="L197" s="334"/>
      <c r="M197" s="335"/>
      <c r="N197" s="335"/>
      <c r="O197" s="335"/>
      <c r="P197" s="335"/>
      <c r="Q197" s="335"/>
      <c r="R197" s="335"/>
      <c r="S197" s="335"/>
      <c r="T197" s="335"/>
      <c r="U197" s="336"/>
      <c r="V197" s="334"/>
      <c r="W197" s="335"/>
      <c r="X197" s="335"/>
      <c r="Y197" s="335"/>
      <c r="Z197" s="335"/>
      <c r="AA197" s="335"/>
      <c r="AB197" s="335"/>
      <c r="AC197" s="335"/>
      <c r="AD197" s="335"/>
      <c r="AE197" s="335"/>
      <c r="AF197" s="335"/>
      <c r="AG197" s="335"/>
      <c r="AH197" s="335"/>
      <c r="AI197" s="335"/>
      <c r="AJ197" s="336"/>
      <c r="AK197" s="334"/>
      <c r="AL197" s="335"/>
      <c r="AM197" s="335"/>
      <c r="AN197" s="335"/>
      <c r="AO197" s="335"/>
      <c r="AP197" s="335"/>
      <c r="AQ197" s="335"/>
      <c r="AR197" s="335"/>
      <c r="AS197" s="335"/>
      <c r="AT197" s="335"/>
      <c r="AU197" s="335"/>
      <c r="AV197" s="335"/>
      <c r="AW197" s="335"/>
      <c r="AX197" s="335"/>
      <c r="AY197" s="336"/>
      <c r="AZ197" s="199"/>
      <c r="BA197" s="199"/>
      <c r="BB197" s="199"/>
      <c r="BC197" s="199"/>
    </row>
    <row r="198" spans="1:55" x14ac:dyDescent="0.25">
      <c r="A198" s="1398"/>
      <c r="B198" s="447" t="str">
        <f>IF(Customize!J36="", "", Customize!J36)</f>
        <v/>
      </c>
      <c r="C198" s="498"/>
      <c r="D198" s="331" t="str">
        <f>IF(Customize!N36="", "", Customize!N36)</f>
        <v/>
      </c>
      <c r="E198" s="332" t="str">
        <f>IF(Customize!O36="", "", Customize!O36)</f>
        <v/>
      </c>
      <c r="F198" s="332" t="str">
        <f>IF(Customize!P36="", "", Customize!P36)</f>
        <v/>
      </c>
      <c r="G198" s="332" t="str">
        <f>IF(Customize!Q36="", "", Customize!Q36)</f>
        <v/>
      </c>
      <c r="H198" s="332"/>
      <c r="I198" s="332"/>
      <c r="J198" s="332"/>
      <c r="K198" s="333"/>
      <c r="L198" s="334"/>
      <c r="M198" s="335"/>
      <c r="N198" s="335"/>
      <c r="O198" s="335"/>
      <c r="P198" s="335"/>
      <c r="Q198" s="335"/>
      <c r="R198" s="335"/>
      <c r="S198" s="335"/>
      <c r="T198" s="335"/>
      <c r="U198" s="336"/>
      <c r="V198" s="334"/>
      <c r="W198" s="335"/>
      <c r="X198" s="335"/>
      <c r="Y198" s="335"/>
      <c r="Z198" s="335"/>
      <c r="AA198" s="335"/>
      <c r="AB198" s="335"/>
      <c r="AC198" s="335"/>
      <c r="AD198" s="335"/>
      <c r="AE198" s="335"/>
      <c r="AF198" s="335"/>
      <c r="AG198" s="335"/>
      <c r="AH198" s="335"/>
      <c r="AI198" s="335"/>
      <c r="AJ198" s="336"/>
      <c r="AK198" s="334"/>
      <c r="AL198" s="335"/>
      <c r="AM198" s="335"/>
      <c r="AN198" s="335"/>
      <c r="AO198" s="335"/>
      <c r="AP198" s="335"/>
      <c r="AQ198" s="335"/>
      <c r="AR198" s="335"/>
      <c r="AS198" s="335"/>
      <c r="AT198" s="335"/>
      <c r="AU198" s="335"/>
      <c r="AV198" s="335"/>
      <c r="AW198" s="335"/>
      <c r="AX198" s="335"/>
      <c r="AY198" s="336"/>
      <c r="AZ198" s="199"/>
      <c r="BA198" s="199"/>
      <c r="BB198" s="199"/>
      <c r="BC198" s="199"/>
    </row>
    <row r="199" spans="1:55" x14ac:dyDescent="0.25">
      <c r="A199" s="1398"/>
      <c r="B199" s="447" t="str">
        <f>IF(Customize!J37="", "", Customize!J37)</f>
        <v/>
      </c>
      <c r="C199" s="498"/>
      <c r="D199" s="331" t="str">
        <f>IF(Customize!N37="", "", Customize!N37)</f>
        <v/>
      </c>
      <c r="E199" s="332" t="str">
        <f>IF(Customize!O37="", "", Customize!O37)</f>
        <v/>
      </c>
      <c r="F199" s="332" t="str">
        <f>IF(Customize!P37="", "", Customize!P37)</f>
        <v/>
      </c>
      <c r="G199" s="332" t="str">
        <f>IF(Customize!Q37="", "", Customize!Q37)</f>
        <v/>
      </c>
      <c r="H199" s="332"/>
      <c r="I199" s="332"/>
      <c r="J199" s="332"/>
      <c r="K199" s="333"/>
      <c r="L199" s="334"/>
      <c r="M199" s="335"/>
      <c r="N199" s="335"/>
      <c r="O199" s="335"/>
      <c r="P199" s="335"/>
      <c r="Q199" s="335"/>
      <c r="R199" s="335"/>
      <c r="S199" s="335"/>
      <c r="T199" s="335"/>
      <c r="U199" s="336"/>
      <c r="V199" s="334"/>
      <c r="W199" s="335"/>
      <c r="X199" s="335"/>
      <c r="Y199" s="335"/>
      <c r="Z199" s="335"/>
      <c r="AA199" s="335"/>
      <c r="AB199" s="335"/>
      <c r="AC199" s="335"/>
      <c r="AD199" s="335"/>
      <c r="AE199" s="335"/>
      <c r="AF199" s="335"/>
      <c r="AG199" s="335"/>
      <c r="AH199" s="335"/>
      <c r="AI199" s="335"/>
      <c r="AJ199" s="336"/>
      <c r="AK199" s="334"/>
      <c r="AL199" s="335"/>
      <c r="AM199" s="335"/>
      <c r="AN199" s="335"/>
      <c r="AO199" s="335"/>
      <c r="AP199" s="335"/>
      <c r="AQ199" s="335"/>
      <c r="AR199" s="335"/>
      <c r="AS199" s="335"/>
      <c r="AT199" s="335"/>
      <c r="AU199" s="335"/>
      <c r="AV199" s="335"/>
      <c r="AW199" s="335"/>
      <c r="AX199" s="335"/>
      <c r="AY199" s="336"/>
      <c r="AZ199" s="199"/>
      <c r="BA199" s="199"/>
      <c r="BB199" s="199"/>
      <c r="BC199" s="199"/>
    </row>
    <row r="200" spans="1:55" x14ac:dyDescent="0.25">
      <c r="A200" s="1398"/>
      <c r="B200" s="447" t="str">
        <f>IF(Customize!J38="", "", Customize!J38)</f>
        <v/>
      </c>
      <c r="C200" s="498"/>
      <c r="D200" s="331" t="str">
        <f>IF(Customize!N38="", "", Customize!N38)</f>
        <v/>
      </c>
      <c r="E200" s="332" t="str">
        <f>IF(Customize!O38="", "", Customize!O38)</f>
        <v/>
      </c>
      <c r="F200" s="332" t="str">
        <f>IF(Customize!P38="", "", Customize!P38)</f>
        <v/>
      </c>
      <c r="G200" s="332" t="str">
        <f>IF(Customize!Q38="", "", Customize!Q38)</f>
        <v/>
      </c>
      <c r="H200" s="332"/>
      <c r="I200" s="332"/>
      <c r="J200" s="332"/>
      <c r="K200" s="333"/>
      <c r="L200" s="334"/>
      <c r="M200" s="335"/>
      <c r="N200" s="335"/>
      <c r="O200" s="335"/>
      <c r="P200" s="335"/>
      <c r="Q200" s="335"/>
      <c r="R200" s="335"/>
      <c r="S200" s="335"/>
      <c r="T200" s="335"/>
      <c r="U200" s="336"/>
      <c r="V200" s="334"/>
      <c r="W200" s="335"/>
      <c r="X200" s="335"/>
      <c r="Y200" s="335"/>
      <c r="Z200" s="335"/>
      <c r="AA200" s="335"/>
      <c r="AB200" s="335"/>
      <c r="AC200" s="335"/>
      <c r="AD200" s="335"/>
      <c r="AE200" s="335"/>
      <c r="AF200" s="335"/>
      <c r="AG200" s="335"/>
      <c r="AH200" s="335"/>
      <c r="AI200" s="335"/>
      <c r="AJ200" s="336"/>
      <c r="AK200" s="334"/>
      <c r="AL200" s="335"/>
      <c r="AM200" s="335"/>
      <c r="AN200" s="335"/>
      <c r="AO200" s="335"/>
      <c r="AP200" s="335"/>
      <c r="AQ200" s="335"/>
      <c r="AR200" s="335"/>
      <c r="AS200" s="335"/>
      <c r="AT200" s="335"/>
      <c r="AU200" s="335"/>
      <c r="AV200" s="335"/>
      <c r="AW200" s="335"/>
      <c r="AX200" s="335"/>
      <c r="AY200" s="336"/>
      <c r="AZ200" s="199"/>
      <c r="BA200" s="199"/>
      <c r="BB200" s="199"/>
      <c r="BC200" s="199"/>
    </row>
    <row r="201" spans="1:55" x14ac:dyDescent="0.25">
      <c r="A201" s="1398"/>
      <c r="B201" s="447" t="str">
        <f>IF(Customize!J39="", "", Customize!J39)</f>
        <v/>
      </c>
      <c r="C201" s="498"/>
      <c r="D201" s="331" t="str">
        <f>IF(Customize!N39="", "", Customize!N39)</f>
        <v/>
      </c>
      <c r="E201" s="332" t="str">
        <f>IF(Customize!O39="", "", Customize!O39)</f>
        <v/>
      </c>
      <c r="F201" s="332" t="str">
        <f>IF(Customize!P39="", "", Customize!P39)</f>
        <v/>
      </c>
      <c r="G201" s="332" t="str">
        <f>IF(Customize!Q39="", "", Customize!Q39)</f>
        <v/>
      </c>
      <c r="H201" s="332"/>
      <c r="I201" s="332"/>
      <c r="J201" s="332"/>
      <c r="K201" s="333"/>
      <c r="L201" s="334"/>
      <c r="M201" s="335"/>
      <c r="N201" s="335"/>
      <c r="O201" s="335"/>
      <c r="P201" s="335"/>
      <c r="Q201" s="335"/>
      <c r="R201" s="335"/>
      <c r="S201" s="335"/>
      <c r="T201" s="335"/>
      <c r="U201" s="336"/>
      <c r="V201" s="334"/>
      <c r="W201" s="335"/>
      <c r="X201" s="335"/>
      <c r="Y201" s="335"/>
      <c r="Z201" s="335"/>
      <c r="AA201" s="335"/>
      <c r="AB201" s="335"/>
      <c r="AC201" s="335"/>
      <c r="AD201" s="335"/>
      <c r="AE201" s="335"/>
      <c r="AF201" s="335"/>
      <c r="AG201" s="335"/>
      <c r="AH201" s="335"/>
      <c r="AI201" s="335"/>
      <c r="AJ201" s="336"/>
      <c r="AK201" s="334"/>
      <c r="AL201" s="335"/>
      <c r="AM201" s="335"/>
      <c r="AN201" s="335"/>
      <c r="AO201" s="335"/>
      <c r="AP201" s="335"/>
      <c r="AQ201" s="335"/>
      <c r="AR201" s="335"/>
      <c r="AS201" s="335"/>
      <c r="AT201" s="335"/>
      <c r="AU201" s="335"/>
      <c r="AV201" s="335"/>
      <c r="AW201" s="335"/>
      <c r="AX201" s="335"/>
      <c r="AY201" s="336"/>
      <c r="AZ201" s="199"/>
      <c r="BA201" s="199"/>
      <c r="BB201" s="199"/>
      <c r="BC201" s="199"/>
    </row>
    <row r="202" spans="1:55" x14ac:dyDescent="0.25">
      <c r="A202" s="1398"/>
      <c r="B202" s="447" t="str">
        <f>IF(Customize!J40="", "", Customize!J40)</f>
        <v/>
      </c>
      <c r="C202" s="498"/>
      <c r="D202" s="331" t="str">
        <f>IF(Customize!N40="", "", Customize!N40)</f>
        <v/>
      </c>
      <c r="E202" s="332" t="str">
        <f>IF(Customize!O40="", "", Customize!O40)</f>
        <v/>
      </c>
      <c r="F202" s="332" t="str">
        <f>IF(Customize!P40="", "", Customize!P40)</f>
        <v/>
      </c>
      <c r="G202" s="332" t="str">
        <f>IF(Customize!Q40="", "", Customize!Q40)</f>
        <v/>
      </c>
      <c r="H202" s="332"/>
      <c r="I202" s="332"/>
      <c r="J202" s="332"/>
      <c r="K202" s="333"/>
      <c r="L202" s="334"/>
      <c r="M202" s="335"/>
      <c r="N202" s="335"/>
      <c r="O202" s="335"/>
      <c r="P202" s="335"/>
      <c r="Q202" s="335"/>
      <c r="R202" s="335"/>
      <c r="S202" s="335"/>
      <c r="T202" s="335"/>
      <c r="U202" s="336"/>
      <c r="V202" s="334"/>
      <c r="W202" s="335"/>
      <c r="X202" s="335"/>
      <c r="Y202" s="335"/>
      <c r="Z202" s="335"/>
      <c r="AA202" s="335"/>
      <c r="AB202" s="335"/>
      <c r="AC202" s="335"/>
      <c r="AD202" s="335"/>
      <c r="AE202" s="335"/>
      <c r="AF202" s="335"/>
      <c r="AG202" s="335"/>
      <c r="AH202" s="335"/>
      <c r="AI202" s="335"/>
      <c r="AJ202" s="336"/>
      <c r="AK202" s="334"/>
      <c r="AL202" s="335"/>
      <c r="AM202" s="335"/>
      <c r="AN202" s="335"/>
      <c r="AO202" s="335"/>
      <c r="AP202" s="335"/>
      <c r="AQ202" s="335"/>
      <c r="AR202" s="335"/>
      <c r="AS202" s="335"/>
      <c r="AT202" s="335"/>
      <c r="AU202" s="335"/>
      <c r="AV202" s="335"/>
      <c r="AW202" s="335"/>
      <c r="AX202" s="335"/>
      <c r="AY202" s="336"/>
      <c r="AZ202" s="199"/>
      <c r="BA202" s="199"/>
      <c r="BB202" s="199"/>
      <c r="BC202" s="199"/>
    </row>
    <row r="203" spans="1:55" x14ac:dyDescent="0.25">
      <c r="A203" s="1398"/>
      <c r="B203" s="447" t="str">
        <f>IF(Customize!J41="", "", Customize!J41)</f>
        <v/>
      </c>
      <c r="C203" s="498"/>
      <c r="D203" s="331" t="str">
        <f>IF(Customize!N41="", "", Customize!N41)</f>
        <v/>
      </c>
      <c r="E203" s="332" t="str">
        <f>IF(Customize!O41="", "", Customize!O41)</f>
        <v/>
      </c>
      <c r="F203" s="332" t="str">
        <f>IF(Customize!P41="", "", Customize!P41)</f>
        <v/>
      </c>
      <c r="G203" s="332" t="str">
        <f>IF(Customize!Q41="", "", Customize!Q41)</f>
        <v/>
      </c>
      <c r="H203" s="332"/>
      <c r="I203" s="332"/>
      <c r="J203" s="332"/>
      <c r="K203" s="333"/>
      <c r="L203" s="334"/>
      <c r="M203" s="335"/>
      <c r="N203" s="335"/>
      <c r="O203" s="335"/>
      <c r="P203" s="335"/>
      <c r="Q203" s="335"/>
      <c r="R203" s="335"/>
      <c r="S203" s="335"/>
      <c r="T203" s="335"/>
      <c r="U203" s="336"/>
      <c r="V203" s="334"/>
      <c r="W203" s="335"/>
      <c r="X203" s="335"/>
      <c r="Y203" s="335"/>
      <c r="Z203" s="335"/>
      <c r="AA203" s="335"/>
      <c r="AB203" s="335"/>
      <c r="AC203" s="335"/>
      <c r="AD203" s="335"/>
      <c r="AE203" s="335"/>
      <c r="AF203" s="335"/>
      <c r="AG203" s="335"/>
      <c r="AH203" s="335"/>
      <c r="AI203" s="335"/>
      <c r="AJ203" s="336"/>
      <c r="AK203" s="334"/>
      <c r="AL203" s="335"/>
      <c r="AM203" s="335"/>
      <c r="AN203" s="335"/>
      <c r="AO203" s="335"/>
      <c r="AP203" s="335"/>
      <c r="AQ203" s="335"/>
      <c r="AR203" s="335"/>
      <c r="AS203" s="335"/>
      <c r="AT203" s="335"/>
      <c r="AU203" s="335"/>
      <c r="AV203" s="335"/>
      <c r="AW203" s="335"/>
      <c r="AX203" s="335"/>
      <c r="AY203" s="336"/>
      <c r="AZ203" s="199"/>
      <c r="BA203" s="199"/>
      <c r="BB203" s="199"/>
      <c r="BC203" s="199"/>
    </row>
    <row r="204" spans="1:55" x14ac:dyDescent="0.25">
      <c r="A204" s="1398"/>
      <c r="B204" s="447" t="str">
        <f>IF(Customize!J42="", "", Customize!J42)</f>
        <v/>
      </c>
      <c r="C204" s="498"/>
      <c r="D204" s="331" t="str">
        <f>IF(Customize!N42="", "", Customize!N42)</f>
        <v/>
      </c>
      <c r="E204" s="332" t="str">
        <f>IF(Customize!O42="", "", Customize!O42)</f>
        <v/>
      </c>
      <c r="F204" s="332" t="str">
        <f>IF(Customize!P42="", "", Customize!P42)</f>
        <v/>
      </c>
      <c r="G204" s="332" t="str">
        <f>IF(Customize!Q42="", "", Customize!Q42)</f>
        <v/>
      </c>
      <c r="H204" s="332"/>
      <c r="I204" s="332"/>
      <c r="J204" s="332"/>
      <c r="K204" s="333"/>
      <c r="L204" s="334"/>
      <c r="M204" s="335"/>
      <c r="N204" s="335"/>
      <c r="O204" s="335"/>
      <c r="P204" s="335"/>
      <c r="Q204" s="335"/>
      <c r="R204" s="335"/>
      <c r="S204" s="335"/>
      <c r="T204" s="335"/>
      <c r="U204" s="336"/>
      <c r="V204" s="334"/>
      <c r="W204" s="335"/>
      <c r="X204" s="335"/>
      <c r="Y204" s="335"/>
      <c r="Z204" s="335"/>
      <c r="AA204" s="335"/>
      <c r="AB204" s="335"/>
      <c r="AC204" s="335"/>
      <c r="AD204" s="335"/>
      <c r="AE204" s="335"/>
      <c r="AF204" s="335"/>
      <c r="AG204" s="335"/>
      <c r="AH204" s="335"/>
      <c r="AI204" s="335"/>
      <c r="AJ204" s="336"/>
      <c r="AK204" s="334"/>
      <c r="AL204" s="335"/>
      <c r="AM204" s="335"/>
      <c r="AN204" s="335"/>
      <c r="AO204" s="335"/>
      <c r="AP204" s="335"/>
      <c r="AQ204" s="335"/>
      <c r="AR204" s="335"/>
      <c r="AS204" s="335"/>
      <c r="AT204" s="335"/>
      <c r="AU204" s="335"/>
      <c r="AV204" s="335"/>
      <c r="AW204" s="335"/>
      <c r="AX204" s="335"/>
      <c r="AY204" s="336"/>
      <c r="AZ204" s="199"/>
      <c r="BA204" s="199"/>
      <c r="BB204" s="199"/>
      <c r="BC204" s="199"/>
    </row>
    <row r="205" spans="1:55" x14ac:dyDescent="0.25">
      <c r="A205" s="1398"/>
      <c r="B205" s="447" t="str">
        <f>IF(Customize!J43="", "", Customize!J43)</f>
        <v/>
      </c>
      <c r="C205" s="498"/>
      <c r="D205" s="331" t="str">
        <f>IF(Customize!N43="", "", Customize!N43)</f>
        <v/>
      </c>
      <c r="E205" s="332" t="str">
        <f>IF(Customize!O43="", "", Customize!O43)</f>
        <v/>
      </c>
      <c r="F205" s="332" t="str">
        <f>IF(Customize!P43="", "", Customize!P43)</f>
        <v/>
      </c>
      <c r="G205" s="332" t="str">
        <f>IF(Customize!Q43="", "", Customize!Q43)</f>
        <v/>
      </c>
      <c r="H205" s="332"/>
      <c r="I205" s="332"/>
      <c r="J205" s="332"/>
      <c r="K205" s="333"/>
      <c r="L205" s="334"/>
      <c r="M205" s="335"/>
      <c r="N205" s="335"/>
      <c r="O205" s="335"/>
      <c r="P205" s="335"/>
      <c r="Q205" s="335"/>
      <c r="R205" s="335"/>
      <c r="S205" s="335"/>
      <c r="T205" s="335"/>
      <c r="U205" s="336"/>
      <c r="V205" s="334"/>
      <c r="W205" s="335"/>
      <c r="X205" s="335"/>
      <c r="Y205" s="335"/>
      <c r="Z205" s="335"/>
      <c r="AA205" s="335"/>
      <c r="AB205" s="335"/>
      <c r="AC205" s="335"/>
      <c r="AD205" s="335"/>
      <c r="AE205" s="335"/>
      <c r="AF205" s="335"/>
      <c r="AG205" s="335"/>
      <c r="AH205" s="335"/>
      <c r="AI205" s="335"/>
      <c r="AJ205" s="336"/>
      <c r="AK205" s="334"/>
      <c r="AL205" s="335"/>
      <c r="AM205" s="335"/>
      <c r="AN205" s="335"/>
      <c r="AO205" s="335"/>
      <c r="AP205" s="335"/>
      <c r="AQ205" s="335"/>
      <c r="AR205" s="335"/>
      <c r="AS205" s="335"/>
      <c r="AT205" s="335"/>
      <c r="AU205" s="335"/>
      <c r="AV205" s="335"/>
      <c r="AW205" s="335"/>
      <c r="AX205" s="335"/>
      <c r="AY205" s="336"/>
      <c r="AZ205" s="199"/>
      <c r="BA205" s="199"/>
      <c r="BB205" s="199"/>
      <c r="BC205" s="199"/>
    </row>
    <row r="206" spans="1:55" x14ac:dyDescent="0.25">
      <c r="A206" s="1398"/>
      <c r="B206" s="447" t="str">
        <f>IF(Customize!J44="", "", Customize!J44)</f>
        <v/>
      </c>
      <c r="C206" s="498"/>
      <c r="D206" s="331" t="str">
        <f>IF(Customize!N44="", "", Customize!N44)</f>
        <v/>
      </c>
      <c r="E206" s="332" t="str">
        <f>IF(Customize!O44="", "", Customize!O44)</f>
        <v/>
      </c>
      <c r="F206" s="332" t="str">
        <f>IF(Customize!P44="", "", Customize!P44)</f>
        <v/>
      </c>
      <c r="G206" s="332" t="str">
        <f>IF(Customize!Q44="", "", Customize!Q44)</f>
        <v/>
      </c>
      <c r="H206" s="332"/>
      <c r="I206" s="332"/>
      <c r="J206" s="332"/>
      <c r="K206" s="333"/>
      <c r="L206" s="334"/>
      <c r="M206" s="335"/>
      <c r="N206" s="335"/>
      <c r="O206" s="335"/>
      <c r="P206" s="335"/>
      <c r="Q206" s="335"/>
      <c r="R206" s="335"/>
      <c r="S206" s="335"/>
      <c r="T206" s="335"/>
      <c r="U206" s="336"/>
      <c r="V206" s="334"/>
      <c r="W206" s="335"/>
      <c r="X206" s="335"/>
      <c r="Y206" s="335"/>
      <c r="Z206" s="335"/>
      <c r="AA206" s="335"/>
      <c r="AB206" s="335"/>
      <c r="AC206" s="335"/>
      <c r="AD206" s="335"/>
      <c r="AE206" s="335"/>
      <c r="AF206" s="335"/>
      <c r="AG206" s="335"/>
      <c r="AH206" s="335"/>
      <c r="AI206" s="335"/>
      <c r="AJ206" s="336"/>
      <c r="AK206" s="334"/>
      <c r="AL206" s="335"/>
      <c r="AM206" s="335"/>
      <c r="AN206" s="335"/>
      <c r="AO206" s="335"/>
      <c r="AP206" s="335"/>
      <c r="AQ206" s="335"/>
      <c r="AR206" s="335"/>
      <c r="AS206" s="335"/>
      <c r="AT206" s="335"/>
      <c r="AU206" s="335"/>
      <c r="AV206" s="335"/>
      <c r="AW206" s="335"/>
      <c r="AX206" s="335"/>
      <c r="AY206" s="336"/>
      <c r="AZ206" s="199"/>
      <c r="BA206" s="199"/>
      <c r="BB206" s="199"/>
      <c r="BC206" s="199"/>
    </row>
    <row r="207" spans="1:55" x14ac:dyDescent="0.25">
      <c r="A207" s="1398"/>
      <c r="B207" s="447" t="str">
        <f>IF(Customize!J45="", "", Customize!J45)</f>
        <v/>
      </c>
      <c r="C207" s="498"/>
      <c r="D207" s="331" t="str">
        <f>IF(Customize!N45="", "", Customize!N45)</f>
        <v/>
      </c>
      <c r="E207" s="332" t="str">
        <f>IF(Customize!O45="", "", Customize!O45)</f>
        <v/>
      </c>
      <c r="F207" s="332" t="str">
        <f>IF(Customize!P45="", "", Customize!P45)</f>
        <v/>
      </c>
      <c r="G207" s="332" t="str">
        <f>IF(Customize!Q45="", "", Customize!Q45)</f>
        <v/>
      </c>
      <c r="H207" s="332"/>
      <c r="I207" s="332"/>
      <c r="J207" s="332"/>
      <c r="K207" s="333"/>
      <c r="L207" s="334"/>
      <c r="M207" s="335"/>
      <c r="N207" s="335"/>
      <c r="O207" s="335"/>
      <c r="P207" s="335"/>
      <c r="Q207" s="335"/>
      <c r="R207" s="335"/>
      <c r="S207" s="335"/>
      <c r="T207" s="335"/>
      <c r="U207" s="336"/>
      <c r="V207" s="334"/>
      <c r="W207" s="335"/>
      <c r="X207" s="335"/>
      <c r="Y207" s="335"/>
      <c r="Z207" s="335"/>
      <c r="AA207" s="335"/>
      <c r="AB207" s="335"/>
      <c r="AC207" s="335"/>
      <c r="AD207" s="335"/>
      <c r="AE207" s="335"/>
      <c r="AF207" s="335"/>
      <c r="AG207" s="335"/>
      <c r="AH207" s="335"/>
      <c r="AI207" s="335"/>
      <c r="AJ207" s="336"/>
      <c r="AK207" s="334"/>
      <c r="AL207" s="335"/>
      <c r="AM207" s="335"/>
      <c r="AN207" s="335"/>
      <c r="AO207" s="335"/>
      <c r="AP207" s="335"/>
      <c r="AQ207" s="335"/>
      <c r="AR207" s="335"/>
      <c r="AS207" s="335"/>
      <c r="AT207" s="335"/>
      <c r="AU207" s="335"/>
      <c r="AV207" s="335"/>
      <c r="AW207" s="335"/>
      <c r="AX207" s="335"/>
      <c r="AY207" s="336"/>
      <c r="AZ207" s="199"/>
      <c r="BA207" s="199"/>
      <c r="BB207" s="199"/>
      <c r="BC207" s="199"/>
    </row>
    <row r="208" spans="1:55" x14ac:dyDescent="0.25">
      <c r="A208" s="1398"/>
      <c r="B208" s="447" t="str">
        <f>IF(Customize!J46="", "", Customize!J46)</f>
        <v/>
      </c>
      <c r="C208" s="498"/>
      <c r="D208" s="331" t="str">
        <f>IF(Customize!N46="", "", Customize!N46)</f>
        <v/>
      </c>
      <c r="E208" s="332" t="str">
        <f>IF(Customize!O46="", "", Customize!O46)</f>
        <v/>
      </c>
      <c r="F208" s="332" t="str">
        <f>IF(Customize!P46="", "", Customize!P46)</f>
        <v/>
      </c>
      <c r="G208" s="332" t="str">
        <f>IF(Customize!Q46="", "", Customize!Q46)</f>
        <v/>
      </c>
      <c r="H208" s="332"/>
      <c r="I208" s="332"/>
      <c r="J208" s="332"/>
      <c r="K208" s="333"/>
      <c r="L208" s="334"/>
      <c r="M208" s="335"/>
      <c r="N208" s="335"/>
      <c r="O208" s="335"/>
      <c r="P208" s="335"/>
      <c r="Q208" s="335"/>
      <c r="R208" s="335"/>
      <c r="S208" s="335"/>
      <c r="T208" s="335"/>
      <c r="U208" s="336"/>
      <c r="V208" s="334"/>
      <c r="W208" s="335"/>
      <c r="X208" s="335"/>
      <c r="Y208" s="335"/>
      <c r="Z208" s="335"/>
      <c r="AA208" s="335"/>
      <c r="AB208" s="335"/>
      <c r="AC208" s="335"/>
      <c r="AD208" s="335"/>
      <c r="AE208" s="335"/>
      <c r="AF208" s="335"/>
      <c r="AG208" s="335"/>
      <c r="AH208" s="335"/>
      <c r="AI208" s="335"/>
      <c r="AJ208" s="336"/>
      <c r="AK208" s="334"/>
      <c r="AL208" s="335"/>
      <c r="AM208" s="335"/>
      <c r="AN208" s="335"/>
      <c r="AO208" s="335"/>
      <c r="AP208" s="335"/>
      <c r="AQ208" s="335"/>
      <c r="AR208" s="335"/>
      <c r="AS208" s="335"/>
      <c r="AT208" s="335"/>
      <c r="AU208" s="335"/>
      <c r="AV208" s="335"/>
      <c r="AW208" s="335"/>
      <c r="AX208" s="335"/>
      <c r="AY208" s="336"/>
      <c r="AZ208" s="199"/>
      <c r="BA208" s="199"/>
      <c r="BB208" s="199"/>
      <c r="BC208" s="199"/>
    </row>
    <row r="209" spans="1:55" x14ac:dyDescent="0.25">
      <c r="A209" s="1398"/>
      <c r="B209" s="447" t="str">
        <f>IF(Customize!J47="", "", Customize!J47)</f>
        <v/>
      </c>
      <c r="C209" s="498"/>
      <c r="D209" s="331" t="str">
        <f>IF(Customize!N47="", "", Customize!N47)</f>
        <v/>
      </c>
      <c r="E209" s="332" t="str">
        <f>IF(Customize!O47="", "", Customize!O47)</f>
        <v/>
      </c>
      <c r="F209" s="332" t="str">
        <f>IF(Customize!P47="", "", Customize!P47)</f>
        <v/>
      </c>
      <c r="G209" s="332" t="str">
        <f>IF(Customize!Q47="", "", Customize!Q47)</f>
        <v/>
      </c>
      <c r="H209" s="332"/>
      <c r="I209" s="332"/>
      <c r="J209" s="332"/>
      <c r="K209" s="333"/>
      <c r="L209" s="334"/>
      <c r="M209" s="335"/>
      <c r="N209" s="335"/>
      <c r="O209" s="335"/>
      <c r="P209" s="335"/>
      <c r="Q209" s="335"/>
      <c r="R209" s="335"/>
      <c r="S209" s="335"/>
      <c r="T209" s="335"/>
      <c r="U209" s="336"/>
      <c r="V209" s="334"/>
      <c r="W209" s="335"/>
      <c r="X209" s="335"/>
      <c r="Y209" s="335"/>
      <c r="Z209" s="335"/>
      <c r="AA209" s="335"/>
      <c r="AB209" s="335"/>
      <c r="AC209" s="335"/>
      <c r="AD209" s="335"/>
      <c r="AE209" s="335"/>
      <c r="AF209" s="335"/>
      <c r="AG209" s="335"/>
      <c r="AH209" s="335"/>
      <c r="AI209" s="335"/>
      <c r="AJ209" s="336"/>
      <c r="AK209" s="334"/>
      <c r="AL209" s="335"/>
      <c r="AM209" s="335"/>
      <c r="AN209" s="335"/>
      <c r="AO209" s="335"/>
      <c r="AP209" s="335"/>
      <c r="AQ209" s="335"/>
      <c r="AR209" s="335"/>
      <c r="AS209" s="335"/>
      <c r="AT209" s="335"/>
      <c r="AU209" s="335"/>
      <c r="AV209" s="335"/>
      <c r="AW209" s="335"/>
      <c r="AX209" s="335"/>
      <c r="AY209" s="336"/>
      <c r="AZ209" s="199"/>
      <c r="BA209" s="199"/>
      <c r="BB209" s="199"/>
      <c r="BC209" s="199"/>
    </row>
    <row r="210" spans="1:55" x14ac:dyDescent="0.25">
      <c r="A210" s="1398"/>
      <c r="B210" s="373" t="str">
        <f>B178</f>
        <v>W.P. #1</v>
      </c>
      <c r="C210" s="500"/>
      <c r="D210" s="503"/>
      <c r="E210" s="499"/>
      <c r="F210" s="499"/>
      <c r="G210" s="499"/>
      <c r="H210" s="499"/>
      <c r="I210" s="499"/>
      <c r="J210" s="499"/>
      <c r="K210" s="500"/>
      <c r="L210" s="503"/>
      <c r="M210" s="499"/>
      <c r="N210" s="499"/>
      <c r="O210" s="499"/>
      <c r="P210" s="499"/>
      <c r="Q210" s="499"/>
      <c r="R210" s="499"/>
      <c r="S210" s="499"/>
      <c r="T210" s="499"/>
      <c r="U210" s="500"/>
      <c r="V210" s="503"/>
      <c r="W210" s="499"/>
      <c r="X210" s="499"/>
      <c r="Y210" s="499"/>
      <c r="Z210" s="499"/>
      <c r="AA210" s="499"/>
      <c r="AB210" s="499"/>
      <c r="AC210" s="499"/>
      <c r="AD210" s="499"/>
      <c r="AE210" s="499"/>
      <c r="AF210" s="499"/>
      <c r="AG210" s="499"/>
      <c r="AH210" s="499"/>
      <c r="AI210" s="499"/>
      <c r="AJ210" s="500"/>
      <c r="AK210" s="503"/>
      <c r="AL210" s="499"/>
      <c r="AM210" s="499"/>
      <c r="AN210" s="499"/>
      <c r="AO210" s="499"/>
      <c r="AP210" s="499"/>
      <c r="AQ210" s="499"/>
      <c r="AR210" s="499"/>
      <c r="AS210" s="499"/>
      <c r="AT210" s="499"/>
      <c r="AU210" s="499"/>
      <c r="AV210" s="499"/>
      <c r="AW210" s="499"/>
      <c r="AX210" s="499"/>
      <c r="AY210" s="500"/>
    </row>
    <row r="211" spans="1:55" x14ac:dyDescent="0.25">
      <c r="A211" s="1398"/>
      <c r="B211" s="373" t="str">
        <f>B179</f>
        <v>W.P. #2</v>
      </c>
      <c r="C211" s="500"/>
      <c r="D211" s="503"/>
      <c r="E211" s="499"/>
      <c r="F211" s="499"/>
      <c r="G211" s="499"/>
      <c r="H211" s="499"/>
      <c r="I211" s="499"/>
      <c r="J211" s="499"/>
      <c r="K211" s="500"/>
      <c r="L211" s="503"/>
      <c r="M211" s="499"/>
      <c r="N211" s="499"/>
      <c r="O211" s="499"/>
      <c r="P211" s="499"/>
      <c r="Q211" s="499"/>
      <c r="R211" s="499"/>
      <c r="S211" s="499"/>
      <c r="T211" s="499"/>
      <c r="U211" s="500"/>
      <c r="V211" s="503"/>
      <c r="W211" s="499"/>
      <c r="X211" s="499"/>
      <c r="Y211" s="499"/>
      <c r="Z211" s="499"/>
      <c r="AA211" s="499"/>
      <c r="AB211" s="499"/>
      <c r="AC211" s="499"/>
      <c r="AD211" s="499"/>
      <c r="AE211" s="499"/>
      <c r="AF211" s="499"/>
      <c r="AG211" s="499"/>
      <c r="AH211" s="499"/>
      <c r="AI211" s="499"/>
      <c r="AJ211" s="500"/>
      <c r="AK211" s="503"/>
      <c r="AL211" s="499"/>
      <c r="AM211" s="499"/>
      <c r="AN211" s="499"/>
      <c r="AO211" s="499"/>
      <c r="AP211" s="499"/>
      <c r="AQ211" s="499"/>
      <c r="AR211" s="499"/>
      <c r="AS211" s="499"/>
      <c r="AT211" s="499"/>
      <c r="AU211" s="499"/>
      <c r="AV211" s="499"/>
      <c r="AW211" s="499"/>
      <c r="AX211" s="499"/>
      <c r="AY211" s="500"/>
    </row>
    <row r="212" spans="1:55" ht="15.75" thickBot="1" x14ac:dyDescent="0.3">
      <c r="A212" s="1399"/>
      <c r="B212" s="375" t="str">
        <f>B180</f>
        <v>W.P. #3</v>
      </c>
      <c r="C212" s="502"/>
      <c r="D212" s="504"/>
      <c r="E212" s="501"/>
      <c r="F212" s="501"/>
      <c r="G212" s="501"/>
      <c r="H212" s="501"/>
      <c r="I212" s="501"/>
      <c r="J212" s="501"/>
      <c r="K212" s="502"/>
      <c r="L212" s="504"/>
      <c r="M212" s="501"/>
      <c r="N212" s="501"/>
      <c r="O212" s="501"/>
      <c r="P212" s="501"/>
      <c r="Q212" s="501"/>
      <c r="R212" s="501"/>
      <c r="S212" s="501"/>
      <c r="T212" s="501"/>
      <c r="U212" s="502"/>
      <c r="V212" s="504"/>
      <c r="W212" s="501"/>
      <c r="X212" s="501"/>
      <c r="Y212" s="501"/>
      <c r="Z212" s="501"/>
      <c r="AA212" s="501"/>
      <c r="AB212" s="501"/>
      <c r="AC212" s="501"/>
      <c r="AD212" s="501"/>
      <c r="AE212" s="501"/>
      <c r="AF212" s="501"/>
      <c r="AG212" s="501"/>
      <c r="AH212" s="501"/>
      <c r="AI212" s="501"/>
      <c r="AJ212" s="502"/>
      <c r="AK212" s="504"/>
      <c r="AL212" s="501"/>
      <c r="AM212" s="501"/>
      <c r="AN212" s="501"/>
      <c r="AO212" s="501"/>
      <c r="AP212" s="501"/>
      <c r="AQ212" s="501"/>
      <c r="AR212" s="501"/>
      <c r="AS212" s="501"/>
      <c r="AT212" s="501"/>
      <c r="AU212" s="501"/>
      <c r="AV212" s="501"/>
      <c r="AW212" s="501"/>
      <c r="AX212" s="501"/>
      <c r="AY212" s="502"/>
    </row>
  </sheetData>
  <sheetProtection algorithmName="SHA-512" hashValue="kyx1UkfLGZvpgP3Yd/gyEnMNOPqlgLrxPyp8b53rACCY8ExWUKYOM/TLR29SeIeuClvDEcwN01XLkKXy2FM7Lw==" saltValue="nNHg4X1IsCmADc9q9S2xWg==" spinCount="100000" sheet="1" objects="1" scenarios="1" selectLockedCells="1" selectUnlockedCells="1"/>
  <mergeCells count="22">
    <mergeCell ref="V1:AJ1"/>
    <mergeCell ref="AK1:AY1"/>
    <mergeCell ref="A1:C1"/>
    <mergeCell ref="A82:A89"/>
    <mergeCell ref="A90:A104"/>
    <mergeCell ref="A3:A14"/>
    <mergeCell ref="A15:A20"/>
    <mergeCell ref="A21:A31"/>
    <mergeCell ref="A32:A35"/>
    <mergeCell ref="A65:A71"/>
    <mergeCell ref="A72:A81"/>
    <mergeCell ref="A36:A46"/>
    <mergeCell ref="A47:A54"/>
    <mergeCell ref="A55:A64"/>
    <mergeCell ref="A195:A212"/>
    <mergeCell ref="A155:A180"/>
    <mergeCell ref="D1:K1"/>
    <mergeCell ref="A181:A194"/>
    <mergeCell ref="L1:U1"/>
    <mergeCell ref="A105:A116"/>
    <mergeCell ref="A117:A145"/>
    <mergeCell ref="A146:A154"/>
  </mergeCells>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5E43C3-501C-4F46-8F05-5D29683CAD80}">
  <dimension ref="A1:U92"/>
  <sheetViews>
    <sheetView workbookViewId="0">
      <pane ySplit="1" topLeftCell="A2" activePane="bottomLeft" state="frozen"/>
      <selection activeCell="C1" sqref="C1"/>
      <selection pane="bottomLeft"/>
    </sheetView>
  </sheetViews>
  <sheetFormatPr defaultRowHeight="15" x14ac:dyDescent="0.25"/>
  <cols>
    <col min="1" max="1" width="19.42578125" bestFit="1" customWidth="1"/>
    <col min="2" max="2" width="44.28515625" bestFit="1" customWidth="1"/>
  </cols>
  <sheetData>
    <row r="1" spans="1:21" ht="16.5" thickBot="1" x14ac:dyDescent="0.3">
      <c r="A1" s="129" t="s">
        <v>263</v>
      </c>
      <c r="B1" s="128" t="s">
        <v>5</v>
      </c>
      <c r="C1" s="299">
        <v>1</v>
      </c>
      <c r="D1" s="124">
        <v>2</v>
      </c>
      <c r="E1" s="124">
        <v>3</v>
      </c>
      <c r="F1" s="124">
        <v>4</v>
      </c>
      <c r="G1" s="124">
        <v>5</v>
      </c>
      <c r="H1" s="124">
        <v>6</v>
      </c>
      <c r="I1" s="124">
        <v>7</v>
      </c>
      <c r="J1" s="124">
        <v>8</v>
      </c>
      <c r="K1" s="124">
        <v>9</v>
      </c>
      <c r="L1" s="124">
        <v>10</v>
      </c>
      <c r="M1" s="124">
        <v>11</v>
      </c>
      <c r="N1" s="124">
        <v>12</v>
      </c>
      <c r="O1" s="124">
        <v>13</v>
      </c>
      <c r="P1" s="124">
        <v>14</v>
      </c>
      <c r="Q1" s="134">
        <v>15</v>
      </c>
      <c r="R1" s="199"/>
      <c r="S1" s="1445" t="s">
        <v>635</v>
      </c>
      <c r="T1" s="1445"/>
      <c r="U1" s="199"/>
    </row>
    <row r="2" spans="1:21" ht="15.75" x14ac:dyDescent="0.25">
      <c r="A2" s="1439" t="s">
        <v>555</v>
      </c>
      <c r="B2" s="369" t="s">
        <v>554</v>
      </c>
      <c r="C2" s="370">
        <v>0</v>
      </c>
      <c r="D2" s="350">
        <v>1861</v>
      </c>
      <c r="E2" s="350">
        <v>3721</v>
      </c>
      <c r="F2" s="350">
        <v>7441</v>
      </c>
      <c r="G2" s="350">
        <v>14881</v>
      </c>
      <c r="H2" s="350">
        <v>23881</v>
      </c>
      <c r="I2" s="350">
        <v>34881</v>
      </c>
      <c r="J2" s="350">
        <v>48881</v>
      </c>
      <c r="K2" s="350">
        <v>68881</v>
      </c>
      <c r="L2" s="350">
        <v>92881</v>
      </c>
      <c r="M2" s="350">
        <v>124881</v>
      </c>
      <c r="N2" s="350">
        <v>166881</v>
      </c>
      <c r="O2" s="350">
        <v>212881</v>
      </c>
      <c r="P2" s="350">
        <v>272881</v>
      </c>
      <c r="Q2" s="351">
        <v>324881</v>
      </c>
      <c r="R2" s="199"/>
      <c r="S2" s="1447" t="s">
        <v>646</v>
      </c>
      <c r="T2" s="1444"/>
      <c r="U2" s="371" t="s">
        <v>553</v>
      </c>
    </row>
    <row r="3" spans="1:21" ht="15.75" x14ac:dyDescent="0.25">
      <c r="A3" s="1439"/>
      <c r="B3" s="372" t="s">
        <v>556</v>
      </c>
      <c r="C3" s="373">
        <v>0</v>
      </c>
      <c r="D3" s="335">
        <v>1971</v>
      </c>
      <c r="E3" s="335">
        <v>3841</v>
      </c>
      <c r="F3" s="335">
        <v>7641</v>
      </c>
      <c r="G3" s="335">
        <v>15841</v>
      </c>
      <c r="H3" s="335">
        <v>25401</v>
      </c>
      <c r="I3" s="335">
        <v>35801</v>
      </c>
      <c r="J3" s="335">
        <v>51201</v>
      </c>
      <c r="K3" s="335">
        <v>72401</v>
      </c>
      <c r="L3" s="335">
        <v>96601</v>
      </c>
      <c r="M3" s="335">
        <v>132201</v>
      </c>
      <c r="N3" s="335">
        <v>184601</v>
      </c>
      <c r="O3" s="335">
        <v>234801</v>
      </c>
      <c r="P3" s="335">
        <v>284201</v>
      </c>
      <c r="Q3" s="336">
        <v>346401</v>
      </c>
      <c r="R3" s="199"/>
      <c r="S3" s="1444" t="s">
        <v>555</v>
      </c>
      <c r="T3" s="1444"/>
      <c r="U3" s="199"/>
    </row>
    <row r="4" spans="1:21" ht="15.75" x14ac:dyDescent="0.25">
      <c r="A4" s="1439"/>
      <c r="B4" s="372" t="s">
        <v>557</v>
      </c>
      <c r="C4" s="373">
        <v>0</v>
      </c>
      <c r="D4" s="335">
        <v>1861</v>
      </c>
      <c r="E4" s="335">
        <v>3721</v>
      </c>
      <c r="F4" s="335">
        <v>7441</v>
      </c>
      <c r="G4" s="335">
        <v>14881</v>
      </c>
      <c r="H4" s="335">
        <v>23881</v>
      </c>
      <c r="I4" s="335">
        <v>34881</v>
      </c>
      <c r="J4" s="335">
        <v>48881</v>
      </c>
      <c r="K4" s="335">
        <v>68881</v>
      </c>
      <c r="L4" s="335">
        <v>92881</v>
      </c>
      <c r="M4" s="335">
        <v>124881</v>
      </c>
      <c r="N4" s="335">
        <v>166881</v>
      </c>
      <c r="O4" s="335">
        <v>212881</v>
      </c>
      <c r="P4" s="335">
        <v>272881</v>
      </c>
      <c r="Q4" s="336">
        <v>324881</v>
      </c>
      <c r="R4" s="199"/>
      <c r="S4" s="1444" t="s">
        <v>568</v>
      </c>
      <c r="T4" s="1444"/>
      <c r="U4" s="199"/>
    </row>
    <row r="5" spans="1:21" ht="15.75" x14ac:dyDescent="0.25">
      <c r="A5" s="1439"/>
      <c r="B5" s="372" t="s">
        <v>558</v>
      </c>
      <c r="C5" s="373">
        <v>0</v>
      </c>
      <c r="D5" s="335">
        <v>1971</v>
      </c>
      <c r="E5" s="335">
        <v>3841</v>
      </c>
      <c r="F5" s="335">
        <v>7641</v>
      </c>
      <c r="G5" s="335">
        <v>15841</v>
      </c>
      <c r="H5" s="335">
        <v>25401</v>
      </c>
      <c r="I5" s="335">
        <v>35801</v>
      </c>
      <c r="J5" s="335">
        <v>51201</v>
      </c>
      <c r="K5" s="335">
        <v>72401</v>
      </c>
      <c r="L5" s="335">
        <v>96601</v>
      </c>
      <c r="M5" s="335">
        <v>132201</v>
      </c>
      <c r="N5" s="335">
        <v>184601</v>
      </c>
      <c r="O5" s="335">
        <v>234801</v>
      </c>
      <c r="P5" s="335">
        <v>284201</v>
      </c>
      <c r="Q5" s="336">
        <v>346401</v>
      </c>
      <c r="R5" s="199"/>
      <c r="S5" s="1444" t="s">
        <v>636</v>
      </c>
      <c r="T5" s="1444"/>
      <c r="U5" s="199"/>
    </row>
    <row r="6" spans="1:21" ht="15.75" x14ac:dyDescent="0.25">
      <c r="A6" s="1439"/>
      <c r="B6" s="372" t="s">
        <v>559</v>
      </c>
      <c r="C6" s="373">
        <v>0</v>
      </c>
      <c r="D6" s="335">
        <v>1971</v>
      </c>
      <c r="E6" s="335">
        <v>3841</v>
      </c>
      <c r="F6" s="335">
        <v>7641</v>
      </c>
      <c r="G6" s="335">
        <v>15841</v>
      </c>
      <c r="H6" s="335">
        <v>25401</v>
      </c>
      <c r="I6" s="335">
        <v>35801</v>
      </c>
      <c r="J6" s="335">
        <v>51201</v>
      </c>
      <c r="K6" s="335">
        <v>72401</v>
      </c>
      <c r="L6" s="335">
        <v>96601</v>
      </c>
      <c r="M6" s="335">
        <v>132201</v>
      </c>
      <c r="N6" s="335">
        <v>184601</v>
      </c>
      <c r="O6" s="335">
        <v>234801</v>
      </c>
      <c r="P6" s="335">
        <v>284201</v>
      </c>
      <c r="Q6" s="336">
        <v>346401</v>
      </c>
      <c r="R6" s="199"/>
      <c r="S6" s="1444" t="s">
        <v>589</v>
      </c>
      <c r="T6" s="1444"/>
      <c r="U6" s="199"/>
    </row>
    <row r="7" spans="1:21" ht="15.75" x14ac:dyDescent="0.25">
      <c r="A7" s="1439"/>
      <c r="B7" s="372" t="s">
        <v>560</v>
      </c>
      <c r="C7" s="373">
        <v>0</v>
      </c>
      <c r="D7" s="335">
        <v>1971</v>
      </c>
      <c r="E7" s="335">
        <v>3841</v>
      </c>
      <c r="F7" s="335">
        <v>7641</v>
      </c>
      <c r="G7" s="335">
        <v>15841</v>
      </c>
      <c r="H7" s="335">
        <v>25401</v>
      </c>
      <c r="I7" s="335">
        <v>35801</v>
      </c>
      <c r="J7" s="335">
        <v>51201</v>
      </c>
      <c r="K7" s="335">
        <v>72401</v>
      </c>
      <c r="L7" s="335">
        <v>96601</v>
      </c>
      <c r="M7" s="335">
        <v>132201</v>
      </c>
      <c r="N7" s="335">
        <v>184601</v>
      </c>
      <c r="O7" s="335">
        <v>234801</v>
      </c>
      <c r="P7" s="335">
        <v>284201</v>
      </c>
      <c r="Q7" s="336">
        <v>346401</v>
      </c>
      <c r="R7" s="199"/>
      <c r="S7" s="1444" t="s">
        <v>63</v>
      </c>
      <c r="T7" s="1444"/>
      <c r="U7" s="199"/>
    </row>
    <row r="8" spans="1:21" ht="15.75" x14ac:dyDescent="0.25">
      <c r="A8" s="1439"/>
      <c r="B8" s="372" t="s">
        <v>561</v>
      </c>
      <c r="C8" s="373">
        <v>0</v>
      </c>
      <c r="D8" s="335">
        <v>1971</v>
      </c>
      <c r="E8" s="335">
        <v>3841</v>
      </c>
      <c r="F8" s="335">
        <v>7641</v>
      </c>
      <c r="G8" s="335">
        <v>15841</v>
      </c>
      <c r="H8" s="335">
        <v>25401</v>
      </c>
      <c r="I8" s="335">
        <v>35801</v>
      </c>
      <c r="J8" s="335">
        <v>51201</v>
      </c>
      <c r="K8" s="335">
        <v>72401</v>
      </c>
      <c r="L8" s="335">
        <v>96601</v>
      </c>
      <c r="M8" s="335">
        <v>132201</v>
      </c>
      <c r="N8" s="335">
        <v>184601</v>
      </c>
      <c r="O8" s="335">
        <v>234801</v>
      </c>
      <c r="P8" s="335">
        <v>284201</v>
      </c>
      <c r="Q8" s="336">
        <v>346401</v>
      </c>
      <c r="R8" s="199"/>
      <c r="S8" s="1444" t="s">
        <v>607</v>
      </c>
      <c r="T8" s="1444"/>
      <c r="U8" s="199"/>
    </row>
    <row r="9" spans="1:21" ht="15.75" x14ac:dyDescent="0.25">
      <c r="A9" s="1439"/>
      <c r="B9" s="372" t="s">
        <v>562</v>
      </c>
      <c r="C9" s="373">
        <v>0</v>
      </c>
      <c r="D9" s="335">
        <v>1971</v>
      </c>
      <c r="E9" s="335">
        <v>3841</v>
      </c>
      <c r="F9" s="335">
        <v>7641</v>
      </c>
      <c r="G9" s="335">
        <v>15841</v>
      </c>
      <c r="H9" s="335">
        <v>25401</v>
      </c>
      <c r="I9" s="335">
        <v>35801</v>
      </c>
      <c r="J9" s="335">
        <v>51201</v>
      </c>
      <c r="K9" s="335">
        <v>72401</v>
      </c>
      <c r="L9" s="335">
        <v>96601</v>
      </c>
      <c r="M9" s="335">
        <v>132201</v>
      </c>
      <c r="N9" s="335">
        <v>184601</v>
      </c>
      <c r="O9" s="335">
        <v>234801</v>
      </c>
      <c r="P9" s="335">
        <v>284201</v>
      </c>
      <c r="Q9" s="336">
        <v>346401</v>
      </c>
      <c r="R9" s="199"/>
      <c r="S9" s="1444" t="s">
        <v>613</v>
      </c>
      <c r="T9" s="1444"/>
      <c r="U9" s="199"/>
    </row>
    <row r="10" spans="1:21" ht="15.75" x14ac:dyDescent="0.25">
      <c r="A10" s="1439"/>
      <c r="B10" s="372" t="s">
        <v>563</v>
      </c>
      <c r="C10" s="373">
        <v>0</v>
      </c>
      <c r="D10" s="335">
        <v>1971</v>
      </c>
      <c r="E10" s="335">
        <v>3841</v>
      </c>
      <c r="F10" s="335">
        <v>7641</v>
      </c>
      <c r="G10" s="335">
        <v>15841</v>
      </c>
      <c r="H10" s="335">
        <v>25401</v>
      </c>
      <c r="I10" s="335">
        <v>35801</v>
      </c>
      <c r="J10" s="335">
        <v>51201</v>
      </c>
      <c r="K10" s="335">
        <v>72401</v>
      </c>
      <c r="L10" s="335">
        <v>96601</v>
      </c>
      <c r="M10" s="335">
        <v>132201</v>
      </c>
      <c r="N10" s="335">
        <v>184601</v>
      </c>
      <c r="O10" s="335">
        <v>234801</v>
      </c>
      <c r="P10" s="335">
        <v>284201</v>
      </c>
      <c r="Q10" s="336">
        <v>346401</v>
      </c>
      <c r="R10" s="199"/>
      <c r="S10" s="1444" t="s">
        <v>628</v>
      </c>
      <c r="T10" s="1444"/>
      <c r="U10" s="199"/>
    </row>
    <row r="11" spans="1:21" ht="15.75" x14ac:dyDescent="0.25">
      <c r="A11" s="1439"/>
      <c r="B11" s="372" t="s">
        <v>564</v>
      </c>
      <c r="C11" s="373">
        <v>0</v>
      </c>
      <c r="D11" s="335">
        <v>1901</v>
      </c>
      <c r="E11" s="335">
        <v>3801</v>
      </c>
      <c r="F11" s="335">
        <v>7601</v>
      </c>
      <c r="G11" s="335">
        <v>15001</v>
      </c>
      <c r="H11" s="335">
        <v>23001</v>
      </c>
      <c r="I11" s="335">
        <v>33001</v>
      </c>
      <c r="J11" s="335">
        <v>48001</v>
      </c>
      <c r="K11" s="335">
        <v>68001</v>
      </c>
      <c r="L11" s="335">
        <v>93001</v>
      </c>
      <c r="M11" s="335">
        <v>123001</v>
      </c>
      <c r="N11" s="335">
        <v>163001</v>
      </c>
      <c r="O11" s="335">
        <v>203301</v>
      </c>
      <c r="P11" s="335">
        <v>253401</v>
      </c>
      <c r="Q11" s="336">
        <v>303501</v>
      </c>
      <c r="R11" s="199"/>
      <c r="S11" s="1444" t="s">
        <v>676</v>
      </c>
      <c r="T11" s="1444"/>
      <c r="U11" s="199"/>
    </row>
    <row r="12" spans="1:21" ht="15.75" x14ac:dyDescent="0.25">
      <c r="A12" s="1439"/>
      <c r="B12" s="372" t="s">
        <v>486</v>
      </c>
      <c r="C12" s="373">
        <v>0</v>
      </c>
      <c r="D12" s="335">
        <v>2301</v>
      </c>
      <c r="E12" s="335">
        <v>4601</v>
      </c>
      <c r="F12" s="335">
        <v>9201</v>
      </c>
      <c r="G12" s="335">
        <v>17001</v>
      </c>
      <c r="H12" s="335">
        <v>28001</v>
      </c>
      <c r="I12" s="335">
        <v>36001</v>
      </c>
      <c r="J12" s="335">
        <v>51001</v>
      </c>
      <c r="K12" s="335">
        <v>73001</v>
      </c>
      <c r="L12" s="335">
        <v>98001</v>
      </c>
      <c r="M12" s="335">
        <v>139001</v>
      </c>
      <c r="N12" s="335">
        <v>189001</v>
      </c>
      <c r="O12" s="335">
        <v>239001</v>
      </c>
      <c r="P12" s="335">
        <v>289001</v>
      </c>
      <c r="Q12" s="336">
        <v>349001</v>
      </c>
      <c r="R12" s="199"/>
      <c r="S12" s="199"/>
      <c r="T12" s="199"/>
      <c r="U12" s="199"/>
    </row>
    <row r="13" spans="1:21" ht="15.75" x14ac:dyDescent="0.25">
      <c r="A13" s="1439"/>
      <c r="B13" s="372" t="s">
        <v>565</v>
      </c>
      <c r="C13" s="334">
        <v>0</v>
      </c>
      <c r="D13" s="335">
        <v>2001</v>
      </c>
      <c r="E13" s="335">
        <v>4101</v>
      </c>
      <c r="F13" s="335">
        <v>8201</v>
      </c>
      <c r="G13" s="335">
        <v>17001</v>
      </c>
      <c r="H13" s="335">
        <v>32001</v>
      </c>
      <c r="I13" s="335">
        <v>50001</v>
      </c>
      <c r="J13" s="335">
        <v>69001</v>
      </c>
      <c r="K13" s="335">
        <v>105001</v>
      </c>
      <c r="L13" s="335">
        <v>135001</v>
      </c>
      <c r="M13" s="335">
        <v>180001</v>
      </c>
      <c r="N13" s="335">
        <v>218001</v>
      </c>
      <c r="O13" s="335">
        <v>240001</v>
      </c>
      <c r="P13" s="335">
        <v>270001</v>
      </c>
      <c r="Q13" s="336">
        <v>295001</v>
      </c>
      <c r="R13" s="199"/>
      <c r="S13" s="199"/>
      <c r="T13" s="199"/>
      <c r="U13" s="199"/>
    </row>
    <row r="14" spans="1:21" ht="16.5" thickBot="1" x14ac:dyDescent="0.3">
      <c r="A14" s="1440"/>
      <c r="B14" s="374" t="s">
        <v>566</v>
      </c>
      <c r="C14" s="375">
        <v>0</v>
      </c>
      <c r="D14" s="343">
        <v>1861</v>
      </c>
      <c r="E14" s="343">
        <v>3721</v>
      </c>
      <c r="F14" s="343">
        <v>7441</v>
      </c>
      <c r="G14" s="343">
        <v>14881</v>
      </c>
      <c r="H14" s="343">
        <v>23881</v>
      </c>
      <c r="I14" s="343">
        <v>34881</v>
      </c>
      <c r="J14" s="343">
        <v>48881</v>
      </c>
      <c r="K14" s="343">
        <v>68881</v>
      </c>
      <c r="L14" s="343">
        <v>92881</v>
      </c>
      <c r="M14" s="343">
        <v>124881</v>
      </c>
      <c r="N14" s="343">
        <v>166881</v>
      </c>
      <c r="O14" s="343">
        <v>212881</v>
      </c>
      <c r="P14" s="343">
        <v>272801</v>
      </c>
      <c r="Q14" s="344">
        <v>324881</v>
      </c>
      <c r="R14" s="199"/>
      <c r="S14" s="199"/>
      <c r="T14" s="199"/>
      <c r="U14" s="199"/>
    </row>
    <row r="15" spans="1:21" ht="15.75" x14ac:dyDescent="0.25">
      <c r="A15" s="1398" t="s">
        <v>568</v>
      </c>
      <c r="B15" s="369" t="s">
        <v>567</v>
      </c>
      <c r="C15" s="324">
        <v>0</v>
      </c>
      <c r="D15" s="325">
        <v>2151</v>
      </c>
      <c r="E15" s="325">
        <v>4301</v>
      </c>
      <c r="F15" s="325">
        <v>8601</v>
      </c>
      <c r="G15" s="325">
        <v>15601</v>
      </c>
      <c r="H15" s="325">
        <v>23601</v>
      </c>
      <c r="I15" s="325">
        <v>33601</v>
      </c>
      <c r="J15" s="325">
        <v>48601</v>
      </c>
      <c r="K15" s="325">
        <v>68601</v>
      </c>
      <c r="L15" s="325">
        <v>93601</v>
      </c>
      <c r="M15" s="325">
        <v>133601</v>
      </c>
      <c r="N15" s="325">
        <v>173601</v>
      </c>
      <c r="O15" s="325">
        <v>223601</v>
      </c>
      <c r="P15" s="325">
        <v>273601</v>
      </c>
      <c r="Q15" s="326">
        <v>323601</v>
      </c>
      <c r="R15" s="199"/>
      <c r="S15" s="199"/>
      <c r="T15" s="199"/>
      <c r="U15" s="199"/>
    </row>
    <row r="16" spans="1:21" ht="15.75" x14ac:dyDescent="0.25">
      <c r="A16" s="1398"/>
      <c r="B16" s="372" t="s">
        <v>569</v>
      </c>
      <c r="C16" s="334">
        <v>0</v>
      </c>
      <c r="D16" s="335">
        <v>1921</v>
      </c>
      <c r="E16" s="335">
        <v>3841</v>
      </c>
      <c r="F16" s="335">
        <v>7681</v>
      </c>
      <c r="G16" s="335">
        <v>14081</v>
      </c>
      <c r="H16" s="335">
        <v>22081</v>
      </c>
      <c r="I16" s="335">
        <v>32081</v>
      </c>
      <c r="J16" s="335">
        <v>47081</v>
      </c>
      <c r="K16" s="335">
        <v>67081</v>
      </c>
      <c r="L16" s="335">
        <v>92081</v>
      </c>
      <c r="M16" s="335">
        <v>132081</v>
      </c>
      <c r="N16" s="335">
        <v>172081</v>
      </c>
      <c r="O16" s="335">
        <v>222081</v>
      </c>
      <c r="P16" s="335">
        <v>272081</v>
      </c>
      <c r="Q16" s="336">
        <v>322081</v>
      </c>
      <c r="R16" s="199"/>
      <c r="S16" s="199"/>
      <c r="T16" s="199"/>
      <c r="U16" s="199"/>
    </row>
    <row r="17" spans="1:21" ht="15.75" x14ac:dyDescent="0.25">
      <c r="A17" s="1398"/>
      <c r="B17" s="372" t="s">
        <v>570</v>
      </c>
      <c r="C17" s="334">
        <v>0</v>
      </c>
      <c r="D17" s="335">
        <v>1921</v>
      </c>
      <c r="E17" s="335">
        <v>3841</v>
      </c>
      <c r="F17" s="335">
        <v>7681</v>
      </c>
      <c r="G17" s="335">
        <v>14081</v>
      </c>
      <c r="H17" s="335">
        <v>22081</v>
      </c>
      <c r="I17" s="335">
        <v>32081</v>
      </c>
      <c r="J17" s="335">
        <v>47081</v>
      </c>
      <c r="K17" s="335">
        <v>67081</v>
      </c>
      <c r="L17" s="335">
        <v>92081</v>
      </c>
      <c r="M17" s="335">
        <v>132081</v>
      </c>
      <c r="N17" s="335">
        <v>172081</v>
      </c>
      <c r="O17" s="335">
        <v>222081</v>
      </c>
      <c r="P17" s="335">
        <v>272081</v>
      </c>
      <c r="Q17" s="336">
        <v>322081</v>
      </c>
      <c r="R17" s="199"/>
      <c r="S17" s="199"/>
      <c r="T17" s="199"/>
      <c r="U17" s="199"/>
    </row>
    <row r="18" spans="1:21" ht="15.75" x14ac:dyDescent="0.25">
      <c r="A18" s="1398"/>
      <c r="B18" s="372" t="s">
        <v>571</v>
      </c>
      <c r="C18" s="334">
        <v>0</v>
      </c>
      <c r="D18" s="335">
        <v>2121</v>
      </c>
      <c r="E18" s="335">
        <v>4241</v>
      </c>
      <c r="F18" s="335">
        <v>8481</v>
      </c>
      <c r="G18" s="335">
        <v>15481</v>
      </c>
      <c r="H18" s="335">
        <v>23481</v>
      </c>
      <c r="I18" s="335">
        <v>33481</v>
      </c>
      <c r="J18" s="335">
        <v>48481</v>
      </c>
      <c r="K18" s="335">
        <v>68481</v>
      </c>
      <c r="L18" s="335">
        <v>93481</v>
      </c>
      <c r="M18" s="335">
        <v>133481</v>
      </c>
      <c r="N18" s="335">
        <v>173481</v>
      </c>
      <c r="O18" s="335">
        <v>223481</v>
      </c>
      <c r="P18" s="335">
        <v>273481</v>
      </c>
      <c r="Q18" s="336">
        <v>323481</v>
      </c>
      <c r="R18" s="199"/>
      <c r="S18" s="199"/>
      <c r="T18" s="199"/>
      <c r="U18" s="199"/>
    </row>
    <row r="19" spans="1:21" ht="15.75" x14ac:dyDescent="0.25">
      <c r="A19" s="1398"/>
      <c r="B19" s="372" t="s">
        <v>572</v>
      </c>
      <c r="C19" s="334">
        <v>0</v>
      </c>
      <c r="D19" s="335">
        <v>1921</v>
      </c>
      <c r="E19" s="335">
        <v>3841</v>
      </c>
      <c r="F19" s="335">
        <v>7681</v>
      </c>
      <c r="G19" s="335">
        <v>14081</v>
      </c>
      <c r="H19" s="335">
        <v>22081</v>
      </c>
      <c r="I19" s="335">
        <v>32081</v>
      </c>
      <c r="J19" s="335">
        <v>47081</v>
      </c>
      <c r="K19" s="335">
        <v>67081</v>
      </c>
      <c r="L19" s="335">
        <v>92081</v>
      </c>
      <c r="M19" s="335">
        <v>132081</v>
      </c>
      <c r="N19" s="335">
        <v>172081</v>
      </c>
      <c r="O19" s="335">
        <v>222081</v>
      </c>
      <c r="P19" s="335">
        <v>272081</v>
      </c>
      <c r="Q19" s="336">
        <v>322081</v>
      </c>
      <c r="R19" s="199"/>
      <c r="S19" s="199"/>
      <c r="T19" s="199"/>
      <c r="U19" s="199"/>
    </row>
    <row r="20" spans="1:21" ht="16.5" thickBot="1" x14ac:dyDescent="0.3">
      <c r="A20" s="1399"/>
      <c r="B20" s="374" t="s">
        <v>573</v>
      </c>
      <c r="C20" s="342">
        <v>0</v>
      </c>
      <c r="D20" s="343">
        <v>2131</v>
      </c>
      <c r="E20" s="343">
        <v>4261</v>
      </c>
      <c r="F20" s="343">
        <v>8501</v>
      </c>
      <c r="G20" s="343">
        <v>15601</v>
      </c>
      <c r="H20" s="343">
        <v>23601</v>
      </c>
      <c r="I20" s="343">
        <v>33701</v>
      </c>
      <c r="J20" s="343">
        <v>48801</v>
      </c>
      <c r="K20" s="343">
        <v>68901</v>
      </c>
      <c r="L20" s="343">
        <v>93401</v>
      </c>
      <c r="M20" s="343">
        <v>133501</v>
      </c>
      <c r="N20" s="343">
        <v>173601</v>
      </c>
      <c r="O20" s="343">
        <v>223701</v>
      </c>
      <c r="P20" s="343">
        <v>273801</v>
      </c>
      <c r="Q20" s="344">
        <v>323901</v>
      </c>
      <c r="R20" s="199"/>
      <c r="S20" s="199"/>
      <c r="T20" s="199"/>
      <c r="U20" s="199"/>
    </row>
    <row r="21" spans="1:21" ht="15.75" x14ac:dyDescent="0.25">
      <c r="A21" s="1446" t="s">
        <v>574</v>
      </c>
      <c r="B21" s="376" t="s">
        <v>239</v>
      </c>
      <c r="C21" s="349">
        <v>0</v>
      </c>
      <c r="D21" s="350">
        <v>2181</v>
      </c>
      <c r="E21" s="350">
        <v>4361</v>
      </c>
      <c r="F21" s="350">
        <v>8721</v>
      </c>
      <c r="G21" s="350">
        <v>17101</v>
      </c>
      <c r="H21" s="350">
        <v>26201</v>
      </c>
      <c r="I21" s="350">
        <v>36301</v>
      </c>
      <c r="J21" s="350">
        <v>51401</v>
      </c>
      <c r="K21" s="350">
        <v>74501</v>
      </c>
      <c r="L21" s="350">
        <v>98601</v>
      </c>
      <c r="M21" s="350">
        <v>137701</v>
      </c>
      <c r="N21" s="350">
        <v>184801</v>
      </c>
      <c r="O21" s="350">
        <v>233001</v>
      </c>
      <c r="P21" s="350">
        <v>284201</v>
      </c>
      <c r="Q21" s="351">
        <v>336301</v>
      </c>
      <c r="R21" s="199"/>
      <c r="S21" s="199"/>
      <c r="T21" s="199"/>
      <c r="U21" s="199"/>
    </row>
    <row r="22" spans="1:21" ht="15.75" x14ac:dyDescent="0.25">
      <c r="A22" s="1436"/>
      <c r="B22" s="372" t="s">
        <v>575</v>
      </c>
      <c r="C22" s="334">
        <v>0</v>
      </c>
      <c r="D22" s="335">
        <v>2201</v>
      </c>
      <c r="E22" s="335">
        <v>4401</v>
      </c>
      <c r="F22" s="335">
        <v>8801</v>
      </c>
      <c r="G22" s="335">
        <v>16501</v>
      </c>
      <c r="H22" s="335">
        <v>25001</v>
      </c>
      <c r="I22" s="335">
        <v>35001</v>
      </c>
      <c r="J22" s="335">
        <v>50001</v>
      </c>
      <c r="K22" s="335">
        <v>71001</v>
      </c>
      <c r="L22" s="335">
        <v>96501</v>
      </c>
      <c r="M22" s="335">
        <v>135501</v>
      </c>
      <c r="N22" s="335">
        <v>180501</v>
      </c>
      <c r="O22" s="335">
        <v>230501</v>
      </c>
      <c r="P22" s="335">
        <v>280501</v>
      </c>
      <c r="Q22" s="336">
        <v>335501</v>
      </c>
      <c r="R22" s="199"/>
      <c r="S22" s="199"/>
      <c r="T22" s="199"/>
      <c r="U22" s="199"/>
    </row>
    <row r="23" spans="1:21" ht="15.75" x14ac:dyDescent="0.25">
      <c r="A23" s="1436"/>
      <c r="B23" s="372" t="s">
        <v>576</v>
      </c>
      <c r="C23" s="334">
        <v>0</v>
      </c>
      <c r="D23" s="335">
        <v>2201</v>
      </c>
      <c r="E23" s="335">
        <v>4401</v>
      </c>
      <c r="F23" s="335">
        <v>8801</v>
      </c>
      <c r="G23" s="335">
        <v>16501</v>
      </c>
      <c r="H23" s="335">
        <v>25001</v>
      </c>
      <c r="I23" s="335">
        <v>35001</v>
      </c>
      <c r="J23" s="335">
        <v>50001</v>
      </c>
      <c r="K23" s="335">
        <v>71001</v>
      </c>
      <c r="L23" s="335">
        <v>96501</v>
      </c>
      <c r="M23" s="335">
        <v>135501</v>
      </c>
      <c r="N23" s="335">
        <v>180501</v>
      </c>
      <c r="O23" s="335">
        <v>230501</v>
      </c>
      <c r="P23" s="335">
        <v>280501</v>
      </c>
      <c r="Q23" s="336">
        <v>335501</v>
      </c>
      <c r="R23" s="199"/>
      <c r="S23" s="199"/>
      <c r="T23" s="199"/>
      <c r="U23" s="199"/>
    </row>
    <row r="24" spans="1:21" ht="15.75" x14ac:dyDescent="0.25">
      <c r="A24" s="1436"/>
      <c r="B24" s="372" t="s">
        <v>577</v>
      </c>
      <c r="C24" s="334">
        <v>0</v>
      </c>
      <c r="D24" s="335">
        <v>2081</v>
      </c>
      <c r="E24" s="335">
        <v>4181</v>
      </c>
      <c r="F24" s="335">
        <v>8181</v>
      </c>
      <c r="G24" s="335">
        <v>14161</v>
      </c>
      <c r="H24" s="335">
        <v>24201</v>
      </c>
      <c r="I24" s="335">
        <v>35001</v>
      </c>
      <c r="J24" s="335">
        <v>47001</v>
      </c>
      <c r="K24" s="335">
        <v>67001</v>
      </c>
      <c r="L24" s="335">
        <v>92001</v>
      </c>
      <c r="M24" s="335">
        <v>130001</v>
      </c>
      <c r="N24" s="335">
        <v>167001</v>
      </c>
      <c r="O24" s="335">
        <v>225001</v>
      </c>
      <c r="P24" s="335">
        <v>295001</v>
      </c>
      <c r="Q24" s="336">
        <v>365001</v>
      </c>
      <c r="R24" s="199"/>
      <c r="S24" s="199"/>
      <c r="T24" s="199"/>
      <c r="U24" s="199"/>
    </row>
    <row r="25" spans="1:21" ht="15.75" x14ac:dyDescent="0.25">
      <c r="A25" s="1436"/>
      <c r="B25" s="372" t="s">
        <v>578</v>
      </c>
      <c r="C25" s="334">
        <v>0</v>
      </c>
      <c r="D25" s="335">
        <v>2201</v>
      </c>
      <c r="E25" s="335">
        <v>4401</v>
      </c>
      <c r="F25" s="335">
        <v>8801</v>
      </c>
      <c r="G25" s="335">
        <v>16501</v>
      </c>
      <c r="H25" s="335">
        <v>25001</v>
      </c>
      <c r="I25" s="335">
        <v>35001</v>
      </c>
      <c r="J25" s="335">
        <v>50001</v>
      </c>
      <c r="K25" s="335">
        <v>71001</v>
      </c>
      <c r="L25" s="335">
        <v>96501</v>
      </c>
      <c r="M25" s="335">
        <v>135501</v>
      </c>
      <c r="N25" s="335">
        <v>180501</v>
      </c>
      <c r="O25" s="335">
        <v>230501</v>
      </c>
      <c r="P25" s="335">
        <v>280501</v>
      </c>
      <c r="Q25" s="336">
        <v>335501</v>
      </c>
      <c r="R25" s="199"/>
      <c r="S25" s="199"/>
      <c r="T25" s="199"/>
      <c r="U25" s="199"/>
    </row>
    <row r="26" spans="1:21" ht="15.75" x14ac:dyDescent="0.25">
      <c r="A26" s="1436"/>
      <c r="B26" s="372" t="s">
        <v>579</v>
      </c>
      <c r="C26" s="334">
        <v>0</v>
      </c>
      <c r="D26" s="335">
        <v>2001</v>
      </c>
      <c r="E26" s="335">
        <v>4001</v>
      </c>
      <c r="F26" s="335">
        <v>8001</v>
      </c>
      <c r="G26" s="335">
        <v>14001</v>
      </c>
      <c r="H26" s="335">
        <v>22001</v>
      </c>
      <c r="I26" s="335">
        <v>32001</v>
      </c>
      <c r="J26" s="335">
        <v>47001</v>
      </c>
      <c r="K26" s="335">
        <v>67001</v>
      </c>
      <c r="L26" s="335">
        <v>92001</v>
      </c>
      <c r="M26" s="335">
        <v>120001</v>
      </c>
      <c r="N26" s="335">
        <v>150001</v>
      </c>
      <c r="O26" s="335">
        <v>200001</v>
      </c>
      <c r="P26" s="335">
        <v>265001</v>
      </c>
      <c r="Q26" s="336">
        <v>320001</v>
      </c>
      <c r="R26" s="199"/>
      <c r="S26" s="199"/>
      <c r="T26" s="199"/>
      <c r="U26" s="199"/>
    </row>
    <row r="27" spans="1:21" ht="15.75" x14ac:dyDescent="0.25">
      <c r="A27" s="1436"/>
      <c r="B27" s="372" t="s">
        <v>580</v>
      </c>
      <c r="C27" s="334">
        <v>0</v>
      </c>
      <c r="D27" s="335">
        <v>2001</v>
      </c>
      <c r="E27" s="335">
        <v>4001</v>
      </c>
      <c r="F27" s="335">
        <v>8001</v>
      </c>
      <c r="G27" s="335">
        <v>14001</v>
      </c>
      <c r="H27" s="335">
        <v>22001</v>
      </c>
      <c r="I27" s="335">
        <v>32001</v>
      </c>
      <c r="J27" s="335">
        <v>47001</v>
      </c>
      <c r="K27" s="335">
        <v>67001</v>
      </c>
      <c r="L27" s="335">
        <v>92001</v>
      </c>
      <c r="M27" s="335">
        <v>120001</v>
      </c>
      <c r="N27" s="335">
        <v>150001</v>
      </c>
      <c r="O27" s="335">
        <v>200001</v>
      </c>
      <c r="P27" s="335">
        <v>265001</v>
      </c>
      <c r="Q27" s="336">
        <v>320001</v>
      </c>
      <c r="R27" s="199"/>
      <c r="S27" s="199"/>
      <c r="T27" s="199"/>
      <c r="U27" s="199"/>
    </row>
    <row r="28" spans="1:21" ht="15.75" x14ac:dyDescent="0.25">
      <c r="A28" s="1436"/>
      <c r="B28" s="372" t="s">
        <v>482</v>
      </c>
      <c r="C28" s="334">
        <v>0</v>
      </c>
      <c r="D28" s="335">
        <v>2201</v>
      </c>
      <c r="E28" s="335">
        <v>4401</v>
      </c>
      <c r="F28" s="335">
        <v>8801</v>
      </c>
      <c r="G28" s="335">
        <v>16501</v>
      </c>
      <c r="H28" s="335">
        <v>25001</v>
      </c>
      <c r="I28" s="335">
        <v>35001</v>
      </c>
      <c r="J28" s="335">
        <v>50001</v>
      </c>
      <c r="K28" s="335">
        <v>71001</v>
      </c>
      <c r="L28" s="335">
        <v>96501</v>
      </c>
      <c r="M28" s="335">
        <v>135501</v>
      </c>
      <c r="N28" s="335">
        <v>180501</v>
      </c>
      <c r="O28" s="335">
        <v>230501</v>
      </c>
      <c r="P28" s="335">
        <v>280501</v>
      </c>
      <c r="Q28" s="336">
        <v>335501</v>
      </c>
      <c r="R28" s="199"/>
      <c r="S28" s="199"/>
      <c r="T28" s="199"/>
      <c r="U28" s="199"/>
    </row>
    <row r="29" spans="1:21" ht="15.75" x14ac:dyDescent="0.25">
      <c r="A29" s="1436"/>
      <c r="B29" s="372" t="s">
        <v>481</v>
      </c>
      <c r="C29" s="334">
        <v>0</v>
      </c>
      <c r="D29" s="335">
        <v>2101</v>
      </c>
      <c r="E29" s="335">
        <v>4201</v>
      </c>
      <c r="F29" s="335">
        <v>8401</v>
      </c>
      <c r="G29" s="335">
        <v>15401</v>
      </c>
      <c r="H29" s="335">
        <v>23401</v>
      </c>
      <c r="I29" s="335">
        <v>33401</v>
      </c>
      <c r="J29" s="335">
        <v>48401</v>
      </c>
      <c r="K29" s="335">
        <v>68401</v>
      </c>
      <c r="L29" s="335">
        <v>93401</v>
      </c>
      <c r="M29" s="335">
        <v>133401</v>
      </c>
      <c r="N29" s="335">
        <v>173401</v>
      </c>
      <c r="O29" s="335">
        <v>223401</v>
      </c>
      <c r="P29" s="335">
        <v>273401</v>
      </c>
      <c r="Q29" s="336">
        <v>323401</v>
      </c>
      <c r="R29" s="199"/>
      <c r="S29" s="199"/>
      <c r="T29" s="199"/>
      <c r="U29" s="199"/>
    </row>
    <row r="30" spans="1:21" ht="15.75" x14ac:dyDescent="0.25">
      <c r="A30" s="1436"/>
      <c r="B30" s="372" t="s">
        <v>581</v>
      </c>
      <c r="C30" s="334">
        <v>0</v>
      </c>
      <c r="D30" s="335">
        <v>1901</v>
      </c>
      <c r="E30" s="335">
        <v>3801</v>
      </c>
      <c r="F30" s="335">
        <v>7601</v>
      </c>
      <c r="G30" s="335">
        <v>12001</v>
      </c>
      <c r="H30" s="335">
        <v>20001</v>
      </c>
      <c r="I30" s="335">
        <v>30001</v>
      </c>
      <c r="J30" s="335">
        <v>45001</v>
      </c>
      <c r="K30" s="335">
        <v>55001</v>
      </c>
      <c r="L30" s="335">
        <v>75001</v>
      </c>
      <c r="M30" s="335">
        <v>110001</v>
      </c>
      <c r="N30" s="335">
        <v>140001</v>
      </c>
      <c r="O30" s="335">
        <v>180001</v>
      </c>
      <c r="P30" s="335">
        <v>240001</v>
      </c>
      <c r="Q30" s="336">
        <v>300001</v>
      </c>
      <c r="R30" s="199"/>
      <c r="S30" s="199"/>
      <c r="T30" s="199"/>
      <c r="U30" s="199"/>
    </row>
    <row r="31" spans="1:21" ht="15.75" x14ac:dyDescent="0.25">
      <c r="A31" s="1436"/>
      <c r="B31" s="372" t="s">
        <v>582</v>
      </c>
      <c r="C31" s="334">
        <v>0</v>
      </c>
      <c r="D31" s="335">
        <v>1851</v>
      </c>
      <c r="E31" s="335">
        <v>3701</v>
      </c>
      <c r="F31" s="335">
        <v>7401</v>
      </c>
      <c r="G31" s="335">
        <v>14301</v>
      </c>
      <c r="H31" s="335">
        <v>22401</v>
      </c>
      <c r="I31" s="335">
        <v>32401</v>
      </c>
      <c r="J31" s="335">
        <v>47601</v>
      </c>
      <c r="K31" s="335">
        <v>67701</v>
      </c>
      <c r="L31" s="335">
        <v>92101</v>
      </c>
      <c r="M31" s="335">
        <v>132401</v>
      </c>
      <c r="N31" s="335">
        <v>171801</v>
      </c>
      <c r="O31" s="335">
        <v>218301</v>
      </c>
      <c r="P31" s="335">
        <v>226501</v>
      </c>
      <c r="Q31" s="336">
        <v>320101</v>
      </c>
      <c r="R31" s="199"/>
      <c r="S31" s="199"/>
      <c r="T31" s="199"/>
      <c r="U31" s="199"/>
    </row>
    <row r="32" spans="1:21" ht="15.75" x14ac:dyDescent="0.25">
      <c r="A32" s="1436"/>
      <c r="B32" s="372" t="s">
        <v>483</v>
      </c>
      <c r="C32" s="334">
        <v>0</v>
      </c>
      <c r="D32" s="335">
        <v>2401</v>
      </c>
      <c r="E32" s="335">
        <v>4801</v>
      </c>
      <c r="F32" s="335">
        <v>9601</v>
      </c>
      <c r="G32" s="335">
        <v>17001</v>
      </c>
      <c r="H32" s="335">
        <v>28001</v>
      </c>
      <c r="I32" s="335">
        <v>38001</v>
      </c>
      <c r="J32" s="335">
        <v>53001</v>
      </c>
      <c r="K32" s="335">
        <v>75001</v>
      </c>
      <c r="L32" s="335">
        <v>100001</v>
      </c>
      <c r="M32" s="335">
        <v>140001</v>
      </c>
      <c r="N32" s="335">
        <v>190001</v>
      </c>
      <c r="O32" s="335">
        <v>240001</v>
      </c>
      <c r="P32" s="335">
        <v>290001</v>
      </c>
      <c r="Q32" s="336">
        <v>350001</v>
      </c>
      <c r="R32" s="199"/>
      <c r="S32" s="199"/>
      <c r="T32" s="199"/>
      <c r="U32" s="199"/>
    </row>
    <row r="33" spans="1:21" ht="15.75" x14ac:dyDescent="0.25">
      <c r="A33" s="1436"/>
      <c r="B33" s="372" t="s">
        <v>583</v>
      </c>
      <c r="C33" s="334">
        <v>0</v>
      </c>
      <c r="D33" s="335">
        <v>2401</v>
      </c>
      <c r="E33" s="335">
        <v>5001</v>
      </c>
      <c r="F33" s="335">
        <v>10001</v>
      </c>
      <c r="G33" s="335">
        <v>21001</v>
      </c>
      <c r="H33" s="335">
        <v>32001</v>
      </c>
      <c r="I33" s="335">
        <v>44001</v>
      </c>
      <c r="J33" s="335">
        <v>60001</v>
      </c>
      <c r="K33" s="335">
        <v>82001</v>
      </c>
      <c r="L33" s="335">
        <v>110001</v>
      </c>
      <c r="M33" s="335">
        <v>150001</v>
      </c>
      <c r="N33" s="335">
        <v>200001</v>
      </c>
      <c r="O33" s="335">
        <v>250001</v>
      </c>
      <c r="P33" s="335">
        <v>300001</v>
      </c>
      <c r="Q33" s="336">
        <v>360001</v>
      </c>
      <c r="R33" s="199"/>
      <c r="S33" s="199"/>
      <c r="T33" s="199"/>
      <c r="U33" s="199"/>
    </row>
    <row r="34" spans="1:21" ht="15.75" x14ac:dyDescent="0.25">
      <c r="A34" s="1436"/>
      <c r="B34" s="372" t="s">
        <v>484</v>
      </c>
      <c r="C34" s="334">
        <v>0</v>
      </c>
      <c r="D34" s="335">
        <v>2061</v>
      </c>
      <c r="E34" s="335">
        <v>4121</v>
      </c>
      <c r="F34" s="335">
        <v>8241</v>
      </c>
      <c r="G34" s="335">
        <v>15101</v>
      </c>
      <c r="H34" s="335">
        <v>23101</v>
      </c>
      <c r="I34" s="335">
        <v>33101</v>
      </c>
      <c r="J34" s="335">
        <v>48201</v>
      </c>
      <c r="K34" s="335">
        <v>68301</v>
      </c>
      <c r="L34" s="335">
        <v>93401</v>
      </c>
      <c r="M34" s="335">
        <v>133501</v>
      </c>
      <c r="N34" s="335">
        <v>175601</v>
      </c>
      <c r="O34" s="335">
        <v>223701</v>
      </c>
      <c r="P34" s="335">
        <v>273801</v>
      </c>
      <c r="Q34" s="336">
        <v>325901</v>
      </c>
      <c r="R34" s="199"/>
      <c r="S34" s="199"/>
      <c r="T34" s="199"/>
      <c r="U34" s="199"/>
    </row>
    <row r="35" spans="1:21" ht="15.75" x14ac:dyDescent="0.25">
      <c r="A35" s="1436"/>
      <c r="B35" s="372" t="s">
        <v>584</v>
      </c>
      <c r="C35" s="334">
        <v>0</v>
      </c>
      <c r="D35" s="335">
        <v>2061</v>
      </c>
      <c r="E35" s="335">
        <v>4121</v>
      </c>
      <c r="F35" s="335">
        <v>8241</v>
      </c>
      <c r="G35" s="335">
        <v>15101</v>
      </c>
      <c r="H35" s="335">
        <v>23101</v>
      </c>
      <c r="I35" s="335">
        <v>33101</v>
      </c>
      <c r="J35" s="335">
        <v>48201</v>
      </c>
      <c r="K35" s="335">
        <v>68301</v>
      </c>
      <c r="L35" s="335">
        <v>93401</v>
      </c>
      <c r="M35" s="335">
        <v>133501</v>
      </c>
      <c r="N35" s="335">
        <v>175601</v>
      </c>
      <c r="O35" s="335">
        <v>223701</v>
      </c>
      <c r="P35" s="335">
        <v>273801</v>
      </c>
      <c r="Q35" s="336">
        <v>325901</v>
      </c>
      <c r="R35" s="199"/>
      <c r="S35" s="199"/>
      <c r="T35" s="199"/>
      <c r="U35" s="199"/>
    </row>
    <row r="36" spans="1:21" ht="15.75" x14ac:dyDescent="0.25">
      <c r="A36" s="1436"/>
      <c r="B36" s="372" t="s">
        <v>480</v>
      </c>
      <c r="C36" s="334">
        <v>0</v>
      </c>
      <c r="D36" s="335">
        <v>2001</v>
      </c>
      <c r="E36" s="335">
        <v>4001</v>
      </c>
      <c r="F36" s="335">
        <v>8001</v>
      </c>
      <c r="G36" s="335">
        <v>14001</v>
      </c>
      <c r="H36" s="335">
        <v>22001</v>
      </c>
      <c r="I36" s="335">
        <v>32001</v>
      </c>
      <c r="J36" s="335">
        <v>47001</v>
      </c>
      <c r="K36" s="335">
        <v>67001</v>
      </c>
      <c r="L36" s="335">
        <v>92001</v>
      </c>
      <c r="M36" s="335">
        <v>120001</v>
      </c>
      <c r="N36" s="335">
        <v>150001</v>
      </c>
      <c r="O36" s="335">
        <v>200001</v>
      </c>
      <c r="P36" s="335">
        <v>265001</v>
      </c>
      <c r="Q36" s="336">
        <v>320001</v>
      </c>
      <c r="R36" s="199"/>
      <c r="S36" s="199"/>
      <c r="T36" s="199"/>
      <c r="U36" s="199"/>
    </row>
    <row r="37" spans="1:21" ht="15.75" x14ac:dyDescent="0.25">
      <c r="A37" s="1436"/>
      <c r="B37" s="372" t="s">
        <v>585</v>
      </c>
      <c r="C37" s="334">
        <v>0</v>
      </c>
      <c r="D37" s="325">
        <v>2181</v>
      </c>
      <c r="E37" s="325">
        <v>4361</v>
      </c>
      <c r="F37" s="325">
        <v>8721</v>
      </c>
      <c r="G37" s="325">
        <v>17101</v>
      </c>
      <c r="H37" s="325">
        <v>26201</v>
      </c>
      <c r="I37" s="325">
        <v>36301</v>
      </c>
      <c r="J37" s="325">
        <v>51401</v>
      </c>
      <c r="K37" s="325">
        <v>74501</v>
      </c>
      <c r="L37" s="325">
        <v>98601</v>
      </c>
      <c r="M37" s="325">
        <v>137701</v>
      </c>
      <c r="N37" s="325">
        <v>184801</v>
      </c>
      <c r="O37" s="325">
        <v>233001</v>
      </c>
      <c r="P37" s="325">
        <v>284201</v>
      </c>
      <c r="Q37" s="326">
        <v>336301</v>
      </c>
      <c r="R37" s="199"/>
      <c r="S37" s="199"/>
      <c r="T37" s="199"/>
      <c r="U37" s="199"/>
    </row>
    <row r="38" spans="1:21" ht="15.75" x14ac:dyDescent="0.25">
      <c r="A38" s="1436"/>
      <c r="B38" s="372" t="s">
        <v>485</v>
      </c>
      <c r="C38" s="334">
        <v>0</v>
      </c>
      <c r="D38" s="335">
        <v>1851</v>
      </c>
      <c r="E38" s="335">
        <v>3701</v>
      </c>
      <c r="F38" s="335">
        <v>7401</v>
      </c>
      <c r="G38" s="335">
        <v>13001</v>
      </c>
      <c r="H38" s="335">
        <v>22001</v>
      </c>
      <c r="I38" s="335">
        <v>33001</v>
      </c>
      <c r="J38" s="335">
        <v>47001</v>
      </c>
      <c r="K38" s="335">
        <v>66001</v>
      </c>
      <c r="L38" s="335">
        <v>91401</v>
      </c>
      <c r="M38" s="335">
        <v>131501</v>
      </c>
      <c r="N38" s="335">
        <v>171601</v>
      </c>
      <c r="O38" s="335">
        <v>221701</v>
      </c>
      <c r="P38" s="335">
        <v>272801</v>
      </c>
      <c r="Q38" s="336">
        <v>326901</v>
      </c>
      <c r="R38" s="199"/>
      <c r="S38" s="199"/>
      <c r="T38" s="199"/>
      <c r="U38" s="199"/>
    </row>
    <row r="39" spans="1:21" ht="15.75" x14ac:dyDescent="0.25">
      <c r="A39" s="1436"/>
      <c r="B39" s="372" t="s">
        <v>586</v>
      </c>
      <c r="C39" s="334">
        <v>0</v>
      </c>
      <c r="D39" s="335">
        <v>2401</v>
      </c>
      <c r="E39" s="335">
        <v>4801</v>
      </c>
      <c r="F39" s="335">
        <v>9601</v>
      </c>
      <c r="G39" s="335">
        <v>17001</v>
      </c>
      <c r="H39" s="335">
        <v>28001</v>
      </c>
      <c r="I39" s="335">
        <v>38001</v>
      </c>
      <c r="J39" s="335">
        <v>53001</v>
      </c>
      <c r="K39" s="335">
        <v>75001</v>
      </c>
      <c r="L39" s="335">
        <v>100001</v>
      </c>
      <c r="M39" s="335">
        <v>140001</v>
      </c>
      <c r="N39" s="335">
        <v>190001</v>
      </c>
      <c r="O39" s="335">
        <v>240001</v>
      </c>
      <c r="P39" s="335">
        <v>290001</v>
      </c>
      <c r="Q39" s="336">
        <v>350001</v>
      </c>
      <c r="R39" s="199"/>
      <c r="S39" s="199"/>
      <c r="T39" s="199"/>
      <c r="U39" s="199"/>
    </row>
    <row r="40" spans="1:21" ht="16.5" thickBot="1" x14ac:dyDescent="0.3">
      <c r="A40" s="1437"/>
      <c r="B40" s="374" t="s">
        <v>587</v>
      </c>
      <c r="C40" s="342">
        <v>0</v>
      </c>
      <c r="D40" s="343">
        <v>1971</v>
      </c>
      <c r="E40" s="343">
        <v>3841</v>
      </c>
      <c r="F40" s="343">
        <v>7641</v>
      </c>
      <c r="G40" s="343">
        <v>15841</v>
      </c>
      <c r="H40" s="343">
        <v>25401</v>
      </c>
      <c r="I40" s="343">
        <v>35801</v>
      </c>
      <c r="J40" s="343">
        <v>51201</v>
      </c>
      <c r="K40" s="343">
        <v>72401</v>
      </c>
      <c r="L40" s="343">
        <v>96601</v>
      </c>
      <c r="M40" s="343">
        <v>132201</v>
      </c>
      <c r="N40" s="343">
        <v>184601</v>
      </c>
      <c r="O40" s="343">
        <v>234801</v>
      </c>
      <c r="P40" s="343">
        <v>284201</v>
      </c>
      <c r="Q40" s="344">
        <v>346401</v>
      </c>
      <c r="R40" s="199"/>
      <c r="S40" s="199"/>
      <c r="T40" s="199"/>
      <c r="U40" s="199"/>
    </row>
    <row r="41" spans="1:21" ht="15.75" x14ac:dyDescent="0.25">
      <c r="A41" s="1439" t="s">
        <v>589</v>
      </c>
      <c r="B41" s="369" t="s">
        <v>588</v>
      </c>
      <c r="C41" s="324">
        <v>0</v>
      </c>
      <c r="D41" s="335">
        <v>2061</v>
      </c>
      <c r="E41" s="335">
        <v>4121</v>
      </c>
      <c r="F41" s="335">
        <v>8241</v>
      </c>
      <c r="G41" s="335">
        <v>15101</v>
      </c>
      <c r="H41" s="335">
        <v>23101</v>
      </c>
      <c r="I41" s="335">
        <v>33101</v>
      </c>
      <c r="J41" s="335">
        <v>48201</v>
      </c>
      <c r="K41" s="335">
        <v>68301</v>
      </c>
      <c r="L41" s="335">
        <v>93401</v>
      </c>
      <c r="M41" s="335">
        <v>133501</v>
      </c>
      <c r="N41" s="335">
        <v>175601</v>
      </c>
      <c r="O41" s="335">
        <v>223701</v>
      </c>
      <c r="P41" s="335">
        <v>273801</v>
      </c>
      <c r="Q41" s="336">
        <v>325901</v>
      </c>
      <c r="R41" s="199"/>
      <c r="S41" s="199"/>
      <c r="T41" s="199"/>
      <c r="U41" s="199"/>
    </row>
    <row r="42" spans="1:21" ht="15.75" x14ac:dyDescent="0.25">
      <c r="A42" s="1439"/>
      <c r="B42" s="372" t="s">
        <v>378</v>
      </c>
      <c r="C42" s="334">
        <v>0</v>
      </c>
      <c r="D42" s="335">
        <v>2101</v>
      </c>
      <c r="E42" s="335">
        <v>4201</v>
      </c>
      <c r="F42" s="335">
        <v>8401</v>
      </c>
      <c r="G42" s="335">
        <v>15401</v>
      </c>
      <c r="H42" s="335">
        <v>23401</v>
      </c>
      <c r="I42" s="335">
        <v>33401</v>
      </c>
      <c r="J42" s="335">
        <v>48401</v>
      </c>
      <c r="K42" s="335">
        <v>68401</v>
      </c>
      <c r="L42" s="335">
        <v>93401</v>
      </c>
      <c r="M42" s="335">
        <v>133401</v>
      </c>
      <c r="N42" s="335">
        <v>173401</v>
      </c>
      <c r="O42" s="335">
        <v>223401</v>
      </c>
      <c r="P42" s="335">
        <v>273401</v>
      </c>
      <c r="Q42" s="336">
        <v>323401</v>
      </c>
      <c r="R42" s="199"/>
      <c r="S42" s="199"/>
      <c r="T42" s="199"/>
      <c r="U42" s="199"/>
    </row>
    <row r="43" spans="1:21" ht="15.75" x14ac:dyDescent="0.25">
      <c r="A43" s="1439"/>
      <c r="B43" s="372" t="s">
        <v>590</v>
      </c>
      <c r="C43" s="334">
        <v>0</v>
      </c>
      <c r="D43" s="335">
        <v>2061</v>
      </c>
      <c r="E43" s="335">
        <v>4121</v>
      </c>
      <c r="F43" s="335">
        <v>8241</v>
      </c>
      <c r="G43" s="335">
        <v>15101</v>
      </c>
      <c r="H43" s="335">
        <v>23101</v>
      </c>
      <c r="I43" s="335">
        <v>33101</v>
      </c>
      <c r="J43" s="335">
        <v>48201</v>
      </c>
      <c r="K43" s="335">
        <v>68301</v>
      </c>
      <c r="L43" s="335">
        <v>93401</v>
      </c>
      <c r="M43" s="335">
        <v>133501</v>
      </c>
      <c r="N43" s="335">
        <v>175601</v>
      </c>
      <c r="O43" s="335">
        <v>223701</v>
      </c>
      <c r="P43" s="335">
        <v>273801</v>
      </c>
      <c r="Q43" s="336">
        <v>325901</v>
      </c>
      <c r="R43" s="199"/>
      <c r="S43" s="199"/>
      <c r="T43" s="199"/>
      <c r="U43" s="199"/>
    </row>
    <row r="44" spans="1:21" ht="15.75" x14ac:dyDescent="0.25">
      <c r="A44" s="1439"/>
      <c r="B44" s="372" t="s">
        <v>591</v>
      </c>
      <c r="C44" s="334">
        <v>0</v>
      </c>
      <c r="D44" s="335">
        <v>2061</v>
      </c>
      <c r="E44" s="335">
        <v>4121</v>
      </c>
      <c r="F44" s="335">
        <v>8241</v>
      </c>
      <c r="G44" s="335">
        <v>15101</v>
      </c>
      <c r="H44" s="335">
        <v>23101</v>
      </c>
      <c r="I44" s="335">
        <v>33101</v>
      </c>
      <c r="J44" s="335">
        <v>48201</v>
      </c>
      <c r="K44" s="335">
        <v>68301</v>
      </c>
      <c r="L44" s="335">
        <v>93401</v>
      </c>
      <c r="M44" s="335">
        <v>133501</v>
      </c>
      <c r="N44" s="335">
        <v>175601</v>
      </c>
      <c r="O44" s="335">
        <v>223701</v>
      </c>
      <c r="P44" s="335">
        <v>273801</v>
      </c>
      <c r="Q44" s="336">
        <v>325901</v>
      </c>
      <c r="R44" s="199"/>
      <c r="S44" s="199"/>
      <c r="T44" s="199"/>
      <c r="U44" s="199"/>
    </row>
    <row r="45" spans="1:21" ht="15.75" x14ac:dyDescent="0.25">
      <c r="A45" s="1439"/>
      <c r="B45" s="372" t="s">
        <v>592</v>
      </c>
      <c r="C45" s="334">
        <v>0</v>
      </c>
      <c r="D45" s="335">
        <v>2051</v>
      </c>
      <c r="E45" s="335">
        <v>4101</v>
      </c>
      <c r="F45" s="335">
        <v>8201</v>
      </c>
      <c r="G45" s="335">
        <v>14401</v>
      </c>
      <c r="H45" s="335">
        <v>22801</v>
      </c>
      <c r="I45" s="335">
        <v>33001</v>
      </c>
      <c r="J45" s="335">
        <v>48401</v>
      </c>
      <c r="K45" s="335">
        <v>68801</v>
      </c>
      <c r="L45" s="335">
        <v>93001</v>
      </c>
      <c r="M45" s="335">
        <v>122001</v>
      </c>
      <c r="N45" s="335">
        <v>154001</v>
      </c>
      <c r="O45" s="335">
        <v>204001</v>
      </c>
      <c r="P45" s="335">
        <v>268001</v>
      </c>
      <c r="Q45" s="336">
        <v>325001</v>
      </c>
      <c r="R45" s="199"/>
      <c r="S45" s="199"/>
      <c r="T45" s="199"/>
      <c r="U45" s="199"/>
    </row>
    <row r="46" spans="1:21" ht="15.75" x14ac:dyDescent="0.25">
      <c r="A46" s="1439"/>
      <c r="B46" s="372" t="s">
        <v>487</v>
      </c>
      <c r="C46" s="334">
        <v>0</v>
      </c>
      <c r="D46" s="335">
        <v>1851</v>
      </c>
      <c r="E46" s="335">
        <v>3701</v>
      </c>
      <c r="F46" s="335">
        <v>7401</v>
      </c>
      <c r="G46" s="335">
        <v>13001</v>
      </c>
      <c r="H46" s="335">
        <v>22001</v>
      </c>
      <c r="I46" s="335">
        <v>33001</v>
      </c>
      <c r="J46" s="335">
        <v>47001</v>
      </c>
      <c r="K46" s="335">
        <v>66001</v>
      </c>
      <c r="L46" s="335">
        <v>91401</v>
      </c>
      <c r="M46" s="335">
        <v>131501</v>
      </c>
      <c r="N46" s="335">
        <v>171601</v>
      </c>
      <c r="O46" s="335">
        <v>221701</v>
      </c>
      <c r="P46" s="335">
        <v>272801</v>
      </c>
      <c r="Q46" s="336">
        <v>326901</v>
      </c>
      <c r="R46" s="199"/>
      <c r="S46" s="199"/>
      <c r="T46" s="199"/>
      <c r="U46" s="199"/>
    </row>
    <row r="47" spans="1:21" ht="15.75" x14ac:dyDescent="0.25">
      <c r="A47" s="1439"/>
      <c r="B47" s="372" t="s">
        <v>637</v>
      </c>
      <c r="C47" s="334">
        <v>0</v>
      </c>
      <c r="D47" s="335">
        <v>2101</v>
      </c>
      <c r="E47" s="335">
        <v>4201</v>
      </c>
      <c r="F47" s="335">
        <v>8401</v>
      </c>
      <c r="G47" s="335">
        <v>15401</v>
      </c>
      <c r="H47" s="335">
        <v>23401</v>
      </c>
      <c r="I47" s="335">
        <v>33401</v>
      </c>
      <c r="J47" s="335">
        <v>48401</v>
      </c>
      <c r="K47" s="335">
        <v>68401</v>
      </c>
      <c r="L47" s="335">
        <v>93401</v>
      </c>
      <c r="M47" s="335">
        <v>133401</v>
      </c>
      <c r="N47" s="335">
        <v>173401</v>
      </c>
      <c r="O47" s="335">
        <v>223401</v>
      </c>
      <c r="P47" s="335">
        <v>273401</v>
      </c>
      <c r="Q47" s="336">
        <v>323401</v>
      </c>
      <c r="R47" s="199"/>
      <c r="S47" s="199"/>
      <c r="T47" s="199"/>
      <c r="U47" s="199"/>
    </row>
    <row r="48" spans="1:21" ht="15.75" x14ac:dyDescent="0.25">
      <c r="A48" s="1439"/>
      <c r="B48" s="372" t="s">
        <v>593</v>
      </c>
      <c r="C48" s="334">
        <v>0</v>
      </c>
      <c r="D48" s="335">
        <v>1901</v>
      </c>
      <c r="E48" s="335">
        <v>3801</v>
      </c>
      <c r="F48" s="335">
        <v>7601</v>
      </c>
      <c r="G48" s="335">
        <v>12001</v>
      </c>
      <c r="H48" s="335">
        <v>20001</v>
      </c>
      <c r="I48" s="335">
        <v>30001</v>
      </c>
      <c r="J48" s="335">
        <v>45001</v>
      </c>
      <c r="K48" s="335">
        <v>55001</v>
      </c>
      <c r="L48" s="335">
        <v>75001</v>
      </c>
      <c r="M48" s="335">
        <v>110001</v>
      </c>
      <c r="N48" s="335">
        <v>140001</v>
      </c>
      <c r="O48" s="335">
        <v>180001</v>
      </c>
      <c r="P48" s="335">
        <v>240001</v>
      </c>
      <c r="Q48" s="336">
        <v>300001</v>
      </c>
      <c r="R48" s="199"/>
      <c r="S48" s="199"/>
      <c r="T48" s="199"/>
      <c r="U48" s="199"/>
    </row>
    <row r="49" spans="1:21" ht="15.75" x14ac:dyDescent="0.25">
      <c r="A49" s="1439"/>
      <c r="B49" s="372" t="s">
        <v>488</v>
      </c>
      <c r="C49" s="334">
        <v>0</v>
      </c>
      <c r="D49" s="335">
        <v>2201</v>
      </c>
      <c r="E49" s="335">
        <v>4401</v>
      </c>
      <c r="F49" s="335">
        <v>8801</v>
      </c>
      <c r="G49" s="335">
        <v>16501</v>
      </c>
      <c r="H49" s="335">
        <v>25001</v>
      </c>
      <c r="I49" s="335">
        <v>35001</v>
      </c>
      <c r="J49" s="335">
        <v>50001</v>
      </c>
      <c r="K49" s="335">
        <v>71001</v>
      </c>
      <c r="L49" s="335">
        <v>96501</v>
      </c>
      <c r="M49" s="335">
        <v>135501</v>
      </c>
      <c r="N49" s="335">
        <v>180501</v>
      </c>
      <c r="O49" s="335">
        <v>230501</v>
      </c>
      <c r="P49" s="335">
        <v>280501</v>
      </c>
      <c r="Q49" s="336">
        <v>335501</v>
      </c>
      <c r="R49" s="199"/>
      <c r="S49" s="199"/>
      <c r="T49" s="199"/>
      <c r="U49" s="199"/>
    </row>
    <row r="50" spans="1:21" ht="15.75" x14ac:dyDescent="0.25">
      <c r="A50" s="1439"/>
      <c r="B50" s="372" t="s">
        <v>489</v>
      </c>
      <c r="C50" s="334">
        <v>0</v>
      </c>
      <c r="D50" s="335">
        <v>2001</v>
      </c>
      <c r="E50" s="335">
        <v>4001</v>
      </c>
      <c r="F50" s="335">
        <v>8001</v>
      </c>
      <c r="G50" s="335">
        <v>14001</v>
      </c>
      <c r="H50" s="335">
        <v>22001</v>
      </c>
      <c r="I50" s="335">
        <v>32001</v>
      </c>
      <c r="J50" s="335">
        <v>47001</v>
      </c>
      <c r="K50" s="335">
        <v>67001</v>
      </c>
      <c r="L50" s="335">
        <v>92001</v>
      </c>
      <c r="M50" s="335">
        <v>120001</v>
      </c>
      <c r="N50" s="335">
        <v>150001</v>
      </c>
      <c r="O50" s="335">
        <v>200001</v>
      </c>
      <c r="P50" s="335">
        <v>265001</v>
      </c>
      <c r="Q50" s="336">
        <v>320001</v>
      </c>
      <c r="R50" s="199"/>
      <c r="S50" s="199"/>
      <c r="T50" s="199"/>
      <c r="U50" s="199"/>
    </row>
    <row r="51" spans="1:21" ht="15.75" x14ac:dyDescent="0.25">
      <c r="A51" s="1439"/>
      <c r="B51" s="372" t="s">
        <v>490</v>
      </c>
      <c r="C51" s="334">
        <v>0</v>
      </c>
      <c r="D51" s="335">
        <v>2101</v>
      </c>
      <c r="E51" s="335">
        <v>4201</v>
      </c>
      <c r="F51" s="335">
        <v>8401</v>
      </c>
      <c r="G51" s="335">
        <v>15401</v>
      </c>
      <c r="H51" s="335">
        <v>23401</v>
      </c>
      <c r="I51" s="335">
        <v>33401</v>
      </c>
      <c r="J51" s="335">
        <v>48401</v>
      </c>
      <c r="K51" s="335">
        <v>68401</v>
      </c>
      <c r="L51" s="335">
        <v>93401</v>
      </c>
      <c r="M51" s="335">
        <v>133401</v>
      </c>
      <c r="N51" s="335">
        <v>173401</v>
      </c>
      <c r="O51" s="335">
        <v>223401</v>
      </c>
      <c r="P51" s="335">
        <v>273401</v>
      </c>
      <c r="Q51" s="336">
        <v>323401</v>
      </c>
      <c r="R51" s="199"/>
      <c r="S51" s="199"/>
      <c r="T51" s="199"/>
      <c r="U51" s="199"/>
    </row>
    <row r="52" spans="1:21" ht="15.75" x14ac:dyDescent="0.25">
      <c r="A52" s="1439"/>
      <c r="B52" s="372" t="s">
        <v>594</v>
      </c>
      <c r="C52" s="334">
        <v>0</v>
      </c>
      <c r="D52" s="335">
        <v>2061</v>
      </c>
      <c r="E52" s="335">
        <v>4121</v>
      </c>
      <c r="F52" s="335">
        <v>8241</v>
      </c>
      <c r="G52" s="335">
        <v>15101</v>
      </c>
      <c r="H52" s="335">
        <v>23101</v>
      </c>
      <c r="I52" s="335">
        <v>33101</v>
      </c>
      <c r="J52" s="335">
        <v>48201</v>
      </c>
      <c r="K52" s="335">
        <v>68301</v>
      </c>
      <c r="L52" s="335">
        <v>93401</v>
      </c>
      <c r="M52" s="335">
        <v>133501</v>
      </c>
      <c r="N52" s="335">
        <v>175601</v>
      </c>
      <c r="O52" s="335">
        <v>223701</v>
      </c>
      <c r="P52" s="335">
        <v>273801</v>
      </c>
      <c r="Q52" s="336">
        <v>325901</v>
      </c>
      <c r="R52" s="199"/>
      <c r="S52" s="199"/>
      <c r="T52" s="199"/>
      <c r="U52" s="199"/>
    </row>
    <row r="53" spans="1:21" ht="16.5" thickBot="1" x14ac:dyDescent="0.3">
      <c r="A53" s="1440"/>
      <c r="B53" s="374" t="s">
        <v>595</v>
      </c>
      <c r="C53" s="342">
        <v>0</v>
      </c>
      <c r="D53" s="343">
        <v>1801</v>
      </c>
      <c r="E53" s="343">
        <v>3601</v>
      </c>
      <c r="F53" s="343">
        <v>7201</v>
      </c>
      <c r="G53" s="343">
        <v>11001</v>
      </c>
      <c r="H53" s="343">
        <v>19001</v>
      </c>
      <c r="I53" s="343">
        <v>29001</v>
      </c>
      <c r="J53" s="343">
        <v>44001</v>
      </c>
      <c r="K53" s="343">
        <v>54001</v>
      </c>
      <c r="L53" s="343">
        <v>74001</v>
      </c>
      <c r="M53" s="343">
        <v>108001</v>
      </c>
      <c r="N53" s="343">
        <v>138001</v>
      </c>
      <c r="O53" s="343">
        <v>175001</v>
      </c>
      <c r="P53" s="343">
        <v>235001</v>
      </c>
      <c r="Q53" s="344">
        <v>290001</v>
      </c>
      <c r="R53" s="199"/>
      <c r="S53" s="199"/>
      <c r="T53" s="199"/>
      <c r="U53" s="199"/>
    </row>
    <row r="54" spans="1:21" ht="15.75" x14ac:dyDescent="0.25">
      <c r="A54" s="1398" t="s">
        <v>597</v>
      </c>
      <c r="B54" s="369" t="s">
        <v>596</v>
      </c>
      <c r="C54" s="324">
        <v>0</v>
      </c>
      <c r="D54" s="325">
        <v>2201</v>
      </c>
      <c r="E54" s="325">
        <v>4401</v>
      </c>
      <c r="F54" s="325">
        <v>8801</v>
      </c>
      <c r="G54" s="325">
        <v>17601</v>
      </c>
      <c r="H54" s="325">
        <v>27801</v>
      </c>
      <c r="I54" s="325">
        <v>37901</v>
      </c>
      <c r="J54" s="325">
        <v>55101</v>
      </c>
      <c r="K54" s="325">
        <v>75201</v>
      </c>
      <c r="L54" s="325">
        <v>100301</v>
      </c>
      <c r="M54" s="325">
        <v>145501</v>
      </c>
      <c r="N54" s="325">
        <v>190601</v>
      </c>
      <c r="O54" s="325">
        <v>245701</v>
      </c>
      <c r="P54" s="325">
        <v>295801</v>
      </c>
      <c r="Q54" s="326">
        <v>345901</v>
      </c>
      <c r="R54" s="199"/>
      <c r="S54" s="199"/>
      <c r="T54" s="199"/>
      <c r="U54" s="199"/>
    </row>
    <row r="55" spans="1:21" ht="15.75" x14ac:dyDescent="0.25">
      <c r="A55" s="1398"/>
      <c r="B55" s="372" t="s">
        <v>598</v>
      </c>
      <c r="C55" s="334">
        <v>0</v>
      </c>
      <c r="D55" s="335">
        <v>2181</v>
      </c>
      <c r="E55" s="335">
        <v>4361</v>
      </c>
      <c r="F55" s="335">
        <v>8721</v>
      </c>
      <c r="G55" s="335">
        <v>17101</v>
      </c>
      <c r="H55" s="335">
        <v>26201</v>
      </c>
      <c r="I55" s="335">
        <v>36301</v>
      </c>
      <c r="J55" s="335">
        <v>51401</v>
      </c>
      <c r="K55" s="335">
        <v>74501</v>
      </c>
      <c r="L55" s="335">
        <v>98601</v>
      </c>
      <c r="M55" s="335">
        <v>137701</v>
      </c>
      <c r="N55" s="335">
        <v>184801</v>
      </c>
      <c r="O55" s="335">
        <v>233001</v>
      </c>
      <c r="P55" s="335">
        <v>284201</v>
      </c>
      <c r="Q55" s="336">
        <v>336301</v>
      </c>
      <c r="R55" s="199"/>
      <c r="S55" s="199"/>
      <c r="T55" s="199"/>
      <c r="U55" s="199"/>
    </row>
    <row r="56" spans="1:21" ht="15.75" x14ac:dyDescent="0.25">
      <c r="A56" s="1398"/>
      <c r="B56" s="372" t="s">
        <v>599</v>
      </c>
      <c r="C56" s="334">
        <v>0</v>
      </c>
      <c r="D56" s="335">
        <v>2101</v>
      </c>
      <c r="E56" s="335">
        <v>4201</v>
      </c>
      <c r="F56" s="335">
        <v>8441</v>
      </c>
      <c r="G56" s="335">
        <v>17481</v>
      </c>
      <c r="H56" s="335">
        <v>25501</v>
      </c>
      <c r="I56" s="335">
        <v>35801</v>
      </c>
      <c r="J56" s="335">
        <v>51001</v>
      </c>
      <c r="K56" s="335">
        <v>71201</v>
      </c>
      <c r="L56" s="335">
        <v>96401</v>
      </c>
      <c r="M56" s="335">
        <v>131601</v>
      </c>
      <c r="N56" s="335">
        <v>181801</v>
      </c>
      <c r="O56" s="335">
        <v>232001</v>
      </c>
      <c r="P56" s="335">
        <v>290201</v>
      </c>
      <c r="Q56" s="336">
        <v>350401</v>
      </c>
      <c r="R56" s="199"/>
      <c r="S56" s="199"/>
      <c r="T56" s="199"/>
      <c r="U56" s="199"/>
    </row>
    <row r="57" spans="1:21" ht="15.75" x14ac:dyDescent="0.25">
      <c r="A57" s="1398"/>
      <c r="B57" s="372" t="s">
        <v>600</v>
      </c>
      <c r="C57" s="334">
        <v>0</v>
      </c>
      <c r="D57" s="335">
        <v>2101</v>
      </c>
      <c r="E57" s="335">
        <v>4201</v>
      </c>
      <c r="F57" s="335">
        <v>8401</v>
      </c>
      <c r="G57" s="335">
        <v>15401</v>
      </c>
      <c r="H57" s="335">
        <v>23401</v>
      </c>
      <c r="I57" s="335">
        <v>33401</v>
      </c>
      <c r="J57" s="335">
        <v>48401</v>
      </c>
      <c r="K57" s="335">
        <v>68401</v>
      </c>
      <c r="L57" s="335">
        <v>93401</v>
      </c>
      <c r="M57" s="335">
        <v>133401</v>
      </c>
      <c r="N57" s="335">
        <v>173401</v>
      </c>
      <c r="O57" s="335">
        <v>223401</v>
      </c>
      <c r="P57" s="335">
        <v>273401</v>
      </c>
      <c r="Q57" s="336">
        <v>232401</v>
      </c>
      <c r="R57" s="199"/>
      <c r="S57" s="199"/>
      <c r="T57" s="199"/>
      <c r="U57" s="199"/>
    </row>
    <row r="58" spans="1:21" ht="15.75" x14ac:dyDescent="0.25">
      <c r="A58" s="1398"/>
      <c r="B58" s="372" t="s">
        <v>601</v>
      </c>
      <c r="C58" s="334">
        <v>0</v>
      </c>
      <c r="D58" s="335">
        <v>2251</v>
      </c>
      <c r="E58" s="335">
        <v>4501</v>
      </c>
      <c r="F58" s="335">
        <v>9001</v>
      </c>
      <c r="G58" s="335">
        <v>18001</v>
      </c>
      <c r="H58" s="335">
        <v>28201</v>
      </c>
      <c r="I58" s="335">
        <v>38401</v>
      </c>
      <c r="J58" s="335">
        <v>53601</v>
      </c>
      <c r="K58" s="335">
        <v>75801</v>
      </c>
      <c r="L58" s="335">
        <v>100001</v>
      </c>
      <c r="M58" s="335">
        <v>130001</v>
      </c>
      <c r="N58" s="335">
        <v>180001</v>
      </c>
      <c r="O58" s="335">
        <v>240001</v>
      </c>
      <c r="P58" s="335">
        <v>320001</v>
      </c>
      <c r="Q58" s="336">
        <v>390001</v>
      </c>
      <c r="R58" s="199"/>
      <c r="S58" s="199"/>
      <c r="T58" s="199"/>
      <c r="U58" s="199"/>
    </row>
    <row r="59" spans="1:21" ht="15.75" x14ac:dyDescent="0.25">
      <c r="A59" s="1398"/>
      <c r="B59" s="372" t="s">
        <v>602</v>
      </c>
      <c r="C59" s="334">
        <v>0</v>
      </c>
      <c r="D59" s="335">
        <v>2301</v>
      </c>
      <c r="E59" s="335">
        <v>4601</v>
      </c>
      <c r="F59" s="335">
        <v>9201</v>
      </c>
      <c r="G59" s="335">
        <v>17001</v>
      </c>
      <c r="H59" s="335">
        <v>28001</v>
      </c>
      <c r="I59" s="335">
        <v>36001</v>
      </c>
      <c r="J59" s="335">
        <v>51001</v>
      </c>
      <c r="K59" s="335">
        <v>73001</v>
      </c>
      <c r="L59" s="335">
        <v>98001</v>
      </c>
      <c r="M59" s="335">
        <v>139001</v>
      </c>
      <c r="N59" s="335">
        <v>189001</v>
      </c>
      <c r="O59" s="335">
        <v>239001</v>
      </c>
      <c r="P59" s="335">
        <v>289001</v>
      </c>
      <c r="Q59" s="336">
        <v>349001</v>
      </c>
      <c r="R59" s="199"/>
      <c r="S59" s="199"/>
      <c r="T59" s="199"/>
      <c r="U59" s="199"/>
    </row>
    <row r="60" spans="1:21" ht="15.75" x14ac:dyDescent="0.25">
      <c r="A60" s="1398"/>
      <c r="B60" s="372" t="s">
        <v>603</v>
      </c>
      <c r="C60" s="334">
        <v>0</v>
      </c>
      <c r="D60" s="335">
        <v>2101</v>
      </c>
      <c r="E60" s="335">
        <v>4201</v>
      </c>
      <c r="F60" s="335">
        <v>8441</v>
      </c>
      <c r="G60" s="335">
        <v>17481</v>
      </c>
      <c r="H60" s="335">
        <v>25501</v>
      </c>
      <c r="I60" s="335">
        <v>35801</v>
      </c>
      <c r="J60" s="335">
        <v>51001</v>
      </c>
      <c r="K60" s="335">
        <v>71201</v>
      </c>
      <c r="L60" s="335">
        <v>96401</v>
      </c>
      <c r="M60" s="335">
        <v>131601</v>
      </c>
      <c r="N60" s="335">
        <v>181801</v>
      </c>
      <c r="O60" s="335">
        <v>232001</v>
      </c>
      <c r="P60" s="335">
        <v>290201</v>
      </c>
      <c r="Q60" s="336">
        <v>350401</v>
      </c>
      <c r="R60" s="199"/>
      <c r="S60" s="199"/>
      <c r="T60" s="199"/>
      <c r="U60" s="199"/>
    </row>
    <row r="61" spans="1:21" ht="15.75" x14ac:dyDescent="0.25">
      <c r="A61" s="1398"/>
      <c r="B61" s="372" t="s">
        <v>604</v>
      </c>
      <c r="C61" s="334">
        <v>0</v>
      </c>
      <c r="D61" s="335">
        <v>1871</v>
      </c>
      <c r="E61" s="335">
        <v>3741</v>
      </c>
      <c r="F61" s="335">
        <v>8481</v>
      </c>
      <c r="G61" s="335">
        <v>16901</v>
      </c>
      <c r="H61" s="335">
        <v>24901</v>
      </c>
      <c r="I61" s="335">
        <v>36801</v>
      </c>
      <c r="J61" s="335">
        <v>54701</v>
      </c>
      <c r="K61" s="335">
        <v>75601</v>
      </c>
      <c r="L61" s="335">
        <v>100501</v>
      </c>
      <c r="M61" s="335">
        <v>140401</v>
      </c>
      <c r="N61" s="335">
        <v>190301</v>
      </c>
      <c r="O61" s="335">
        <v>250201</v>
      </c>
      <c r="P61" s="335">
        <v>300101</v>
      </c>
      <c r="Q61" s="336">
        <v>370201</v>
      </c>
      <c r="R61" s="199"/>
      <c r="S61" s="199"/>
      <c r="T61" s="199"/>
      <c r="U61" s="199"/>
    </row>
    <row r="62" spans="1:21" ht="16.5" thickBot="1" x14ac:dyDescent="0.3">
      <c r="A62" s="1399"/>
      <c r="B62" s="374" t="s">
        <v>605</v>
      </c>
      <c r="C62" s="342">
        <v>0</v>
      </c>
      <c r="D62" s="343">
        <v>2241</v>
      </c>
      <c r="E62" s="343">
        <v>4481</v>
      </c>
      <c r="F62" s="343">
        <v>8961</v>
      </c>
      <c r="G62" s="343">
        <v>17921</v>
      </c>
      <c r="H62" s="343">
        <v>25921</v>
      </c>
      <c r="I62" s="343">
        <v>35921</v>
      </c>
      <c r="J62" s="343">
        <v>50921</v>
      </c>
      <c r="K62" s="343">
        <v>70921</v>
      </c>
      <c r="L62" s="343">
        <v>95921</v>
      </c>
      <c r="M62" s="343">
        <v>135921</v>
      </c>
      <c r="N62" s="343">
        <v>1985921</v>
      </c>
      <c r="O62" s="343">
        <v>225921</v>
      </c>
      <c r="P62" s="343">
        <v>275921</v>
      </c>
      <c r="Q62" s="344">
        <v>335921</v>
      </c>
      <c r="R62" s="199"/>
      <c r="S62" s="199"/>
      <c r="T62" s="199"/>
      <c r="U62" s="199"/>
    </row>
    <row r="63" spans="1:21" ht="15.75" x14ac:dyDescent="0.25">
      <c r="A63" s="1436" t="s">
        <v>607</v>
      </c>
      <c r="B63" s="369" t="s">
        <v>606</v>
      </c>
      <c r="C63" s="324">
        <v>0</v>
      </c>
      <c r="D63" s="325">
        <v>2221</v>
      </c>
      <c r="E63" s="325">
        <v>4441</v>
      </c>
      <c r="F63" s="325">
        <v>8921</v>
      </c>
      <c r="G63" s="325">
        <v>17901</v>
      </c>
      <c r="H63" s="325">
        <v>25921</v>
      </c>
      <c r="I63" s="325">
        <v>35941</v>
      </c>
      <c r="J63" s="325">
        <v>50921</v>
      </c>
      <c r="K63" s="325">
        <v>70941</v>
      </c>
      <c r="L63" s="325">
        <v>95921</v>
      </c>
      <c r="M63" s="325">
        <v>135941</v>
      </c>
      <c r="N63" s="325">
        <v>185921</v>
      </c>
      <c r="O63" s="325">
        <v>225941</v>
      </c>
      <c r="P63" s="325">
        <v>275921</v>
      </c>
      <c r="Q63" s="326">
        <v>335941</v>
      </c>
      <c r="R63" s="199"/>
      <c r="S63" s="199"/>
      <c r="T63" s="199"/>
      <c r="U63" s="199"/>
    </row>
    <row r="64" spans="1:21" ht="15.75" x14ac:dyDescent="0.25">
      <c r="A64" s="1436"/>
      <c r="B64" s="372" t="s">
        <v>608</v>
      </c>
      <c r="C64" s="334">
        <v>0</v>
      </c>
      <c r="D64" s="335">
        <v>2241</v>
      </c>
      <c r="E64" s="335">
        <v>4481</v>
      </c>
      <c r="F64" s="335">
        <v>8961</v>
      </c>
      <c r="G64" s="335">
        <v>17921</v>
      </c>
      <c r="H64" s="335">
        <v>25921</v>
      </c>
      <c r="I64" s="335">
        <v>35921</v>
      </c>
      <c r="J64" s="335">
        <v>50921</v>
      </c>
      <c r="K64" s="335">
        <v>70921</v>
      </c>
      <c r="L64" s="335">
        <v>95921</v>
      </c>
      <c r="M64" s="335">
        <v>135921</v>
      </c>
      <c r="N64" s="335">
        <v>1985921</v>
      </c>
      <c r="O64" s="335">
        <v>225921</v>
      </c>
      <c r="P64" s="335">
        <v>275921</v>
      </c>
      <c r="Q64" s="336">
        <v>335921</v>
      </c>
      <c r="R64" s="199"/>
      <c r="S64" s="199"/>
      <c r="T64" s="199"/>
      <c r="U64" s="199"/>
    </row>
    <row r="65" spans="1:21" ht="15.75" x14ac:dyDescent="0.25">
      <c r="A65" s="1436"/>
      <c r="B65" s="372" t="s">
        <v>609</v>
      </c>
      <c r="C65" s="334">
        <v>0</v>
      </c>
      <c r="D65" s="335">
        <v>2061</v>
      </c>
      <c r="E65" s="335">
        <v>4121</v>
      </c>
      <c r="F65" s="335">
        <v>8241</v>
      </c>
      <c r="G65" s="335">
        <v>15101</v>
      </c>
      <c r="H65" s="335">
        <v>23101</v>
      </c>
      <c r="I65" s="335">
        <v>33101</v>
      </c>
      <c r="J65" s="335">
        <v>48201</v>
      </c>
      <c r="K65" s="335">
        <v>68301</v>
      </c>
      <c r="L65" s="335">
        <v>93401</v>
      </c>
      <c r="M65" s="335">
        <v>133501</v>
      </c>
      <c r="N65" s="335">
        <v>175601</v>
      </c>
      <c r="O65" s="335">
        <v>223701</v>
      </c>
      <c r="P65" s="335">
        <v>273801</v>
      </c>
      <c r="Q65" s="336">
        <v>325901</v>
      </c>
      <c r="R65" s="199"/>
      <c r="S65" s="199"/>
      <c r="T65" s="199"/>
      <c r="U65" s="199"/>
    </row>
    <row r="66" spans="1:21" ht="15.75" x14ac:dyDescent="0.25">
      <c r="A66" s="1436"/>
      <c r="B66" s="372" t="s">
        <v>610</v>
      </c>
      <c r="C66" s="334">
        <v>0</v>
      </c>
      <c r="D66" s="335">
        <v>2101</v>
      </c>
      <c r="E66" s="335">
        <v>4201</v>
      </c>
      <c r="F66" s="335">
        <v>8441</v>
      </c>
      <c r="G66" s="335">
        <v>17481</v>
      </c>
      <c r="H66" s="335">
        <v>25501</v>
      </c>
      <c r="I66" s="335">
        <v>35801</v>
      </c>
      <c r="J66" s="335">
        <v>51001</v>
      </c>
      <c r="K66" s="335">
        <v>71201</v>
      </c>
      <c r="L66" s="335">
        <v>96401</v>
      </c>
      <c r="M66" s="335">
        <v>131601</v>
      </c>
      <c r="N66" s="335">
        <v>181801</v>
      </c>
      <c r="O66" s="335">
        <v>232001</v>
      </c>
      <c r="P66" s="335">
        <v>290201</v>
      </c>
      <c r="Q66" s="336">
        <v>350401</v>
      </c>
      <c r="R66" s="199"/>
      <c r="S66" s="199"/>
      <c r="T66" s="199"/>
      <c r="U66" s="199"/>
    </row>
    <row r="67" spans="1:21" ht="16.5" thickBot="1" x14ac:dyDescent="0.3">
      <c r="A67" s="1437"/>
      <c r="B67" s="374" t="s">
        <v>611</v>
      </c>
      <c r="C67" s="342">
        <v>0</v>
      </c>
      <c r="D67" s="343">
        <v>2061</v>
      </c>
      <c r="E67" s="343">
        <v>4121</v>
      </c>
      <c r="F67" s="343">
        <v>8241</v>
      </c>
      <c r="G67" s="343">
        <v>15101</v>
      </c>
      <c r="H67" s="343">
        <v>23101</v>
      </c>
      <c r="I67" s="343">
        <v>33101</v>
      </c>
      <c r="J67" s="343">
        <v>48201</v>
      </c>
      <c r="K67" s="343">
        <v>68301</v>
      </c>
      <c r="L67" s="343">
        <v>93401</v>
      </c>
      <c r="M67" s="343">
        <v>133501</v>
      </c>
      <c r="N67" s="343">
        <v>175601</v>
      </c>
      <c r="O67" s="343">
        <v>223701</v>
      </c>
      <c r="P67" s="343">
        <v>273801</v>
      </c>
      <c r="Q67" s="344">
        <v>325901</v>
      </c>
      <c r="R67" s="199"/>
      <c r="S67" s="199"/>
      <c r="T67" s="199"/>
      <c r="U67" s="199"/>
    </row>
    <row r="68" spans="1:21" ht="15.75" x14ac:dyDescent="0.25">
      <c r="A68" s="1438" t="s">
        <v>613</v>
      </c>
      <c r="B68" s="376" t="s">
        <v>612</v>
      </c>
      <c r="C68" s="370">
        <v>0</v>
      </c>
      <c r="D68" s="335">
        <v>1901</v>
      </c>
      <c r="E68" s="335">
        <v>3801</v>
      </c>
      <c r="F68" s="335">
        <v>7601</v>
      </c>
      <c r="G68" s="335">
        <v>15001</v>
      </c>
      <c r="H68" s="335">
        <v>23001</v>
      </c>
      <c r="I68" s="335">
        <v>33001</v>
      </c>
      <c r="J68" s="335">
        <v>48001</v>
      </c>
      <c r="K68" s="335">
        <v>68001</v>
      </c>
      <c r="L68" s="335">
        <v>93001</v>
      </c>
      <c r="M68" s="335">
        <v>123001</v>
      </c>
      <c r="N68" s="335">
        <v>163001</v>
      </c>
      <c r="O68" s="335">
        <v>203301</v>
      </c>
      <c r="P68" s="335">
        <v>253401</v>
      </c>
      <c r="Q68" s="336">
        <v>303501</v>
      </c>
      <c r="R68" s="199"/>
      <c r="S68" s="199"/>
      <c r="T68" s="199"/>
      <c r="U68" s="199"/>
    </row>
    <row r="69" spans="1:21" ht="15.75" x14ac:dyDescent="0.25">
      <c r="A69" s="1439"/>
      <c r="B69" s="372" t="s">
        <v>614</v>
      </c>
      <c r="C69" s="373">
        <v>0</v>
      </c>
      <c r="D69" s="335">
        <v>1901</v>
      </c>
      <c r="E69" s="335">
        <v>3801</v>
      </c>
      <c r="F69" s="335">
        <v>7601</v>
      </c>
      <c r="G69" s="335">
        <v>15001</v>
      </c>
      <c r="H69" s="335">
        <v>23001</v>
      </c>
      <c r="I69" s="335">
        <v>33001</v>
      </c>
      <c r="J69" s="335">
        <v>48001</v>
      </c>
      <c r="K69" s="335">
        <v>68001</v>
      </c>
      <c r="L69" s="335">
        <v>93001</v>
      </c>
      <c r="M69" s="335">
        <v>123001</v>
      </c>
      <c r="N69" s="335">
        <v>163001</v>
      </c>
      <c r="O69" s="335">
        <v>203301</v>
      </c>
      <c r="P69" s="335">
        <v>253401</v>
      </c>
      <c r="Q69" s="336">
        <v>303501</v>
      </c>
      <c r="R69" s="199"/>
      <c r="S69" s="199"/>
      <c r="T69" s="199"/>
      <c r="U69" s="199"/>
    </row>
    <row r="70" spans="1:21" ht="15.75" x14ac:dyDescent="0.25">
      <c r="A70" s="1439"/>
      <c r="B70" s="372" t="s">
        <v>615</v>
      </c>
      <c r="C70" s="373">
        <v>0</v>
      </c>
      <c r="D70" s="335">
        <v>1861</v>
      </c>
      <c r="E70" s="335">
        <v>3721</v>
      </c>
      <c r="F70" s="335">
        <v>7441</v>
      </c>
      <c r="G70" s="335">
        <v>14881</v>
      </c>
      <c r="H70" s="335">
        <v>23881</v>
      </c>
      <c r="I70" s="335">
        <v>34881</v>
      </c>
      <c r="J70" s="335">
        <v>48881</v>
      </c>
      <c r="K70" s="335">
        <v>68881</v>
      </c>
      <c r="L70" s="335">
        <v>92881</v>
      </c>
      <c r="M70" s="335">
        <v>124881</v>
      </c>
      <c r="N70" s="335">
        <v>166881</v>
      </c>
      <c r="O70" s="335">
        <v>212881</v>
      </c>
      <c r="P70" s="335">
        <v>272881</v>
      </c>
      <c r="Q70" s="336">
        <v>324881</v>
      </c>
      <c r="R70" s="199"/>
      <c r="S70" s="199"/>
      <c r="T70" s="199"/>
      <c r="U70" s="199"/>
    </row>
    <row r="71" spans="1:21" ht="15.75" x14ac:dyDescent="0.25">
      <c r="A71" s="1439"/>
      <c r="B71" s="372" t="s">
        <v>645</v>
      </c>
      <c r="C71" s="373">
        <v>0</v>
      </c>
      <c r="D71" s="335">
        <v>2201</v>
      </c>
      <c r="E71" s="335">
        <v>4401</v>
      </c>
      <c r="F71" s="335">
        <v>8801</v>
      </c>
      <c r="G71" s="335">
        <v>16501</v>
      </c>
      <c r="H71" s="335">
        <v>25001</v>
      </c>
      <c r="I71" s="335">
        <v>35001</v>
      </c>
      <c r="J71" s="335">
        <v>50001</v>
      </c>
      <c r="K71" s="335">
        <v>71001</v>
      </c>
      <c r="L71" s="335">
        <v>96501</v>
      </c>
      <c r="M71" s="335">
        <v>135501</v>
      </c>
      <c r="N71" s="335">
        <v>180501</v>
      </c>
      <c r="O71" s="335">
        <v>230501</v>
      </c>
      <c r="P71" s="335">
        <v>280501</v>
      </c>
      <c r="Q71" s="336">
        <v>335501</v>
      </c>
      <c r="R71" s="199"/>
      <c r="S71" s="199"/>
      <c r="T71" s="199"/>
      <c r="U71" s="199"/>
    </row>
    <row r="72" spans="1:21" ht="15.75" x14ac:dyDescent="0.25">
      <c r="A72" s="1439"/>
      <c r="B72" s="372" t="s">
        <v>616</v>
      </c>
      <c r="C72" s="373">
        <v>0</v>
      </c>
      <c r="D72" s="335">
        <v>2181</v>
      </c>
      <c r="E72" s="335">
        <v>4361</v>
      </c>
      <c r="F72" s="335">
        <v>8721</v>
      </c>
      <c r="G72" s="335">
        <v>17101</v>
      </c>
      <c r="H72" s="335">
        <v>26201</v>
      </c>
      <c r="I72" s="335">
        <v>36301</v>
      </c>
      <c r="J72" s="335">
        <v>51401</v>
      </c>
      <c r="K72" s="335">
        <v>74501</v>
      </c>
      <c r="L72" s="335">
        <v>98601</v>
      </c>
      <c r="M72" s="335">
        <v>137701</v>
      </c>
      <c r="N72" s="335">
        <v>184801</v>
      </c>
      <c r="O72" s="335">
        <v>233001</v>
      </c>
      <c r="P72" s="335">
        <v>284201</v>
      </c>
      <c r="Q72" s="336">
        <v>336301</v>
      </c>
      <c r="R72" s="199"/>
      <c r="S72" s="199"/>
      <c r="T72" s="199"/>
      <c r="U72" s="199"/>
    </row>
    <row r="73" spans="1:21" ht="15.75" x14ac:dyDescent="0.25">
      <c r="A73" s="1439"/>
      <c r="B73" s="372" t="s">
        <v>617</v>
      </c>
      <c r="C73" s="334">
        <v>0</v>
      </c>
      <c r="D73" s="335">
        <v>2301</v>
      </c>
      <c r="E73" s="335">
        <v>4603</v>
      </c>
      <c r="F73" s="335">
        <v>9207</v>
      </c>
      <c r="G73" s="335">
        <v>18415</v>
      </c>
      <c r="H73" s="335">
        <v>36831</v>
      </c>
      <c r="I73" s="335">
        <v>56747</v>
      </c>
      <c r="J73" s="335">
        <v>85121</v>
      </c>
      <c r="K73" s="335">
        <v>119170</v>
      </c>
      <c r="L73" s="335">
        <v>154922</v>
      </c>
      <c r="M73" s="335">
        <v>201401</v>
      </c>
      <c r="N73" s="335">
        <v>251001</v>
      </c>
      <c r="O73" s="335">
        <v>313001</v>
      </c>
      <c r="P73" s="335">
        <v>350001</v>
      </c>
      <c r="Q73" s="336">
        <v>400001</v>
      </c>
      <c r="R73" s="199"/>
      <c r="S73" s="199"/>
      <c r="T73" s="199"/>
      <c r="U73" s="199"/>
    </row>
    <row r="74" spans="1:21" ht="15.75" x14ac:dyDescent="0.25">
      <c r="A74" s="1439"/>
      <c r="B74" s="372" t="s">
        <v>618</v>
      </c>
      <c r="C74" s="334">
        <v>0</v>
      </c>
      <c r="D74" s="335">
        <v>2001</v>
      </c>
      <c r="E74" s="335">
        <v>4101</v>
      </c>
      <c r="F74" s="335">
        <v>8201</v>
      </c>
      <c r="G74" s="335">
        <v>17001</v>
      </c>
      <c r="H74" s="335">
        <v>32001</v>
      </c>
      <c r="I74" s="335">
        <v>50001</v>
      </c>
      <c r="J74" s="335">
        <v>69001</v>
      </c>
      <c r="K74" s="335">
        <v>105001</v>
      </c>
      <c r="L74" s="335">
        <v>135001</v>
      </c>
      <c r="M74" s="335">
        <v>180001</v>
      </c>
      <c r="N74" s="335">
        <v>218001</v>
      </c>
      <c r="O74" s="335">
        <v>240001</v>
      </c>
      <c r="P74" s="335">
        <v>270001</v>
      </c>
      <c r="Q74" s="336">
        <v>295001</v>
      </c>
      <c r="R74" s="199"/>
      <c r="S74" s="199"/>
      <c r="T74" s="199"/>
      <c r="U74" s="199"/>
    </row>
    <row r="75" spans="1:21" ht="15.75" x14ac:dyDescent="0.25">
      <c r="A75" s="1439"/>
      <c r="B75" s="372" t="s">
        <v>619</v>
      </c>
      <c r="C75" s="334">
        <v>0</v>
      </c>
      <c r="D75" s="335">
        <v>2301</v>
      </c>
      <c r="E75" s="335">
        <v>4603</v>
      </c>
      <c r="F75" s="335">
        <v>9207</v>
      </c>
      <c r="G75" s="335">
        <v>18415</v>
      </c>
      <c r="H75" s="335">
        <v>36831</v>
      </c>
      <c r="I75" s="335">
        <v>56747</v>
      </c>
      <c r="J75" s="335">
        <v>85121</v>
      </c>
      <c r="K75" s="335">
        <v>119170</v>
      </c>
      <c r="L75" s="335">
        <v>154922</v>
      </c>
      <c r="M75" s="335">
        <v>201401</v>
      </c>
      <c r="N75" s="335">
        <v>251001</v>
      </c>
      <c r="O75" s="335">
        <v>313001</v>
      </c>
      <c r="P75" s="335">
        <v>350001</v>
      </c>
      <c r="Q75" s="336">
        <v>400001</v>
      </c>
      <c r="R75" s="199"/>
      <c r="S75" s="199"/>
      <c r="T75" s="199"/>
      <c r="U75" s="199"/>
    </row>
    <row r="76" spans="1:21" ht="15.75" x14ac:dyDescent="0.25">
      <c r="A76" s="1439"/>
      <c r="B76" s="372" t="s">
        <v>620</v>
      </c>
      <c r="C76" s="334">
        <v>0</v>
      </c>
      <c r="D76" s="335">
        <v>2051</v>
      </c>
      <c r="E76" s="335">
        <v>4101</v>
      </c>
      <c r="F76" s="335">
        <v>8201</v>
      </c>
      <c r="G76" s="335">
        <v>16001</v>
      </c>
      <c r="H76" s="335">
        <v>32001</v>
      </c>
      <c r="I76" s="335">
        <v>49001</v>
      </c>
      <c r="J76" s="335">
        <v>71001</v>
      </c>
      <c r="K76" s="335">
        <v>103001</v>
      </c>
      <c r="L76" s="335">
        <v>134001</v>
      </c>
      <c r="M76" s="335">
        <v>165001</v>
      </c>
      <c r="N76" s="335">
        <v>190001</v>
      </c>
      <c r="O76" s="335">
        <v>213001</v>
      </c>
      <c r="P76" s="335">
        <v>249001</v>
      </c>
      <c r="Q76" s="336">
        <v>290001</v>
      </c>
      <c r="R76" s="199"/>
      <c r="S76" s="199"/>
      <c r="T76" s="199"/>
      <c r="U76" s="199"/>
    </row>
    <row r="77" spans="1:21" ht="15.75" x14ac:dyDescent="0.25">
      <c r="A77" s="1439"/>
      <c r="B77" s="372" t="s">
        <v>621</v>
      </c>
      <c r="C77" s="373">
        <v>0</v>
      </c>
      <c r="D77" s="335">
        <v>2051</v>
      </c>
      <c r="E77" s="335">
        <v>4101</v>
      </c>
      <c r="F77" s="335">
        <v>8201</v>
      </c>
      <c r="G77" s="335">
        <v>15201</v>
      </c>
      <c r="H77" s="335">
        <v>23301</v>
      </c>
      <c r="I77" s="335">
        <v>33401</v>
      </c>
      <c r="J77" s="335">
        <v>48501</v>
      </c>
      <c r="K77" s="335">
        <v>68601</v>
      </c>
      <c r="L77" s="335">
        <v>93701</v>
      </c>
      <c r="M77" s="335">
        <v>133801</v>
      </c>
      <c r="N77" s="335">
        <v>175901</v>
      </c>
      <c r="O77" s="335">
        <v>223101</v>
      </c>
      <c r="P77" s="335">
        <v>273201</v>
      </c>
      <c r="Q77" s="336">
        <v>325401</v>
      </c>
      <c r="R77" s="199"/>
      <c r="S77" s="199"/>
      <c r="T77" s="199"/>
      <c r="U77" s="199"/>
    </row>
    <row r="78" spans="1:21" ht="15.75" x14ac:dyDescent="0.25">
      <c r="A78" s="1439"/>
      <c r="B78" s="372" t="s">
        <v>622</v>
      </c>
      <c r="C78" s="373">
        <v>0</v>
      </c>
      <c r="D78" s="335">
        <v>1751</v>
      </c>
      <c r="E78" s="335">
        <v>3501</v>
      </c>
      <c r="F78" s="335">
        <v>7561</v>
      </c>
      <c r="G78" s="335">
        <v>17001</v>
      </c>
      <c r="H78" s="335">
        <v>25001</v>
      </c>
      <c r="I78" s="335">
        <v>38801</v>
      </c>
      <c r="J78" s="335">
        <v>56701</v>
      </c>
      <c r="K78" s="335">
        <v>77601</v>
      </c>
      <c r="L78" s="335">
        <v>110501</v>
      </c>
      <c r="M78" s="335">
        <v>150401</v>
      </c>
      <c r="N78" s="335">
        <v>200301</v>
      </c>
      <c r="O78" s="335">
        <v>260201</v>
      </c>
      <c r="P78" s="335">
        <v>310101</v>
      </c>
      <c r="Q78" s="336">
        <v>390201</v>
      </c>
      <c r="R78" s="199"/>
      <c r="S78" s="199"/>
      <c r="T78" s="199"/>
      <c r="U78" s="199"/>
    </row>
    <row r="79" spans="1:21" ht="15.75" x14ac:dyDescent="0.25">
      <c r="A79" s="1439"/>
      <c r="B79" s="372" t="s">
        <v>623</v>
      </c>
      <c r="C79" s="373">
        <v>0</v>
      </c>
      <c r="D79" s="335">
        <v>2201</v>
      </c>
      <c r="E79" s="335">
        <v>4401</v>
      </c>
      <c r="F79" s="335">
        <v>8801</v>
      </c>
      <c r="G79" s="335">
        <v>16501</v>
      </c>
      <c r="H79" s="335">
        <v>25001</v>
      </c>
      <c r="I79" s="335">
        <v>35001</v>
      </c>
      <c r="J79" s="335">
        <v>50001</v>
      </c>
      <c r="K79" s="335">
        <v>71001</v>
      </c>
      <c r="L79" s="335">
        <v>96501</v>
      </c>
      <c r="M79" s="335">
        <v>135501</v>
      </c>
      <c r="N79" s="335">
        <v>180501</v>
      </c>
      <c r="O79" s="335">
        <v>230501</v>
      </c>
      <c r="P79" s="335">
        <v>280501</v>
      </c>
      <c r="Q79" s="336">
        <v>335501</v>
      </c>
      <c r="R79" s="199"/>
      <c r="S79" s="199"/>
      <c r="T79" s="199"/>
      <c r="U79" s="199"/>
    </row>
    <row r="80" spans="1:21" ht="15.75" x14ac:dyDescent="0.25">
      <c r="A80" s="1439"/>
      <c r="B80" s="372" t="s">
        <v>624</v>
      </c>
      <c r="C80" s="373">
        <v>0</v>
      </c>
      <c r="D80" s="335">
        <v>1751</v>
      </c>
      <c r="E80" s="335">
        <v>3501</v>
      </c>
      <c r="F80" s="335">
        <v>7561</v>
      </c>
      <c r="G80" s="335">
        <v>17001</v>
      </c>
      <c r="H80" s="335">
        <v>25001</v>
      </c>
      <c r="I80" s="335">
        <v>38801</v>
      </c>
      <c r="J80" s="335">
        <v>56701</v>
      </c>
      <c r="K80" s="335">
        <v>77601</v>
      </c>
      <c r="L80" s="335">
        <v>110501</v>
      </c>
      <c r="M80" s="335">
        <v>150401</v>
      </c>
      <c r="N80" s="335">
        <v>200301</v>
      </c>
      <c r="O80" s="335">
        <v>260201</v>
      </c>
      <c r="P80" s="335">
        <v>310101</v>
      </c>
      <c r="Q80" s="336">
        <v>390201</v>
      </c>
      <c r="R80" s="199"/>
      <c r="S80" s="199"/>
      <c r="T80" s="199"/>
      <c r="U80" s="199"/>
    </row>
    <row r="81" spans="1:21" ht="15.75" x14ac:dyDescent="0.25">
      <c r="A81" s="1439"/>
      <c r="B81" s="372" t="s">
        <v>625</v>
      </c>
      <c r="C81" s="373">
        <v>0</v>
      </c>
      <c r="D81" s="335">
        <v>1851</v>
      </c>
      <c r="E81" s="335">
        <v>3701</v>
      </c>
      <c r="F81" s="335">
        <v>7401</v>
      </c>
      <c r="G81" s="335">
        <v>13001</v>
      </c>
      <c r="H81" s="335">
        <v>22001</v>
      </c>
      <c r="I81" s="335">
        <v>33001</v>
      </c>
      <c r="J81" s="335">
        <v>47001</v>
      </c>
      <c r="K81" s="335">
        <v>66001</v>
      </c>
      <c r="L81" s="335">
        <v>91401</v>
      </c>
      <c r="M81" s="335">
        <v>131501</v>
      </c>
      <c r="N81" s="335">
        <v>171601</v>
      </c>
      <c r="O81" s="335">
        <v>221701</v>
      </c>
      <c r="P81" s="335">
        <v>272801</v>
      </c>
      <c r="Q81" s="336">
        <v>326901</v>
      </c>
      <c r="R81" s="199"/>
      <c r="S81" s="199"/>
      <c r="T81" s="199"/>
      <c r="U81" s="199"/>
    </row>
    <row r="82" spans="1:21" ht="16.5" thickBot="1" x14ac:dyDescent="0.3">
      <c r="A82" s="1440"/>
      <c r="B82" s="374" t="s">
        <v>626</v>
      </c>
      <c r="C82" s="375">
        <v>0</v>
      </c>
      <c r="D82" s="343">
        <v>2101</v>
      </c>
      <c r="E82" s="343">
        <v>4201</v>
      </c>
      <c r="F82" s="343">
        <v>8441</v>
      </c>
      <c r="G82" s="343">
        <v>17481</v>
      </c>
      <c r="H82" s="343">
        <v>25501</v>
      </c>
      <c r="I82" s="343">
        <v>35801</v>
      </c>
      <c r="J82" s="343">
        <v>51001</v>
      </c>
      <c r="K82" s="343">
        <v>71201</v>
      </c>
      <c r="L82" s="343">
        <v>96401</v>
      </c>
      <c r="M82" s="343">
        <v>131601</v>
      </c>
      <c r="N82" s="343">
        <v>181801</v>
      </c>
      <c r="O82" s="343">
        <v>232001</v>
      </c>
      <c r="P82" s="343">
        <v>290201</v>
      </c>
      <c r="Q82" s="344">
        <v>350401</v>
      </c>
      <c r="R82" s="199"/>
      <c r="S82" s="199"/>
      <c r="T82" s="199"/>
      <c r="U82" s="199"/>
    </row>
    <row r="83" spans="1:21" ht="15.75" x14ac:dyDescent="0.25">
      <c r="A83" s="1398" t="s">
        <v>628</v>
      </c>
      <c r="B83" s="369" t="s">
        <v>627</v>
      </c>
      <c r="C83" s="324">
        <v>0</v>
      </c>
      <c r="D83" s="325">
        <v>2101</v>
      </c>
      <c r="E83" s="325">
        <v>4201</v>
      </c>
      <c r="F83" s="325">
        <v>8401</v>
      </c>
      <c r="G83" s="325">
        <v>15801</v>
      </c>
      <c r="H83" s="325">
        <v>23001</v>
      </c>
      <c r="I83" s="325">
        <v>33001</v>
      </c>
      <c r="J83" s="325">
        <v>48001</v>
      </c>
      <c r="K83" s="325">
        <v>68001</v>
      </c>
      <c r="L83" s="325">
        <v>93001</v>
      </c>
      <c r="M83" s="325">
        <v>134001</v>
      </c>
      <c r="N83" s="325">
        <v>174001</v>
      </c>
      <c r="O83" s="325">
        <v>225001</v>
      </c>
      <c r="P83" s="325">
        <v>275001</v>
      </c>
      <c r="Q83" s="326">
        <v>325481</v>
      </c>
      <c r="R83" s="199"/>
      <c r="S83" s="199"/>
      <c r="T83" s="199"/>
      <c r="U83" s="199"/>
    </row>
    <row r="84" spans="1:21" ht="15.75" x14ac:dyDescent="0.25">
      <c r="A84" s="1398"/>
      <c r="B84" s="372" t="s">
        <v>629</v>
      </c>
      <c r="C84" s="334">
        <v>0</v>
      </c>
      <c r="D84" s="335">
        <v>1901</v>
      </c>
      <c r="E84" s="335">
        <v>3801</v>
      </c>
      <c r="F84" s="335">
        <v>7601</v>
      </c>
      <c r="G84" s="335">
        <v>15001</v>
      </c>
      <c r="H84" s="335">
        <v>30001</v>
      </c>
      <c r="I84" s="335">
        <v>45001</v>
      </c>
      <c r="J84" s="335">
        <v>68001</v>
      </c>
      <c r="K84" s="335">
        <v>102001</v>
      </c>
      <c r="L84" s="335">
        <v>132001</v>
      </c>
      <c r="M84" s="335">
        <v>172001</v>
      </c>
      <c r="N84" s="335">
        <v>216001</v>
      </c>
      <c r="O84" s="335">
        <v>237001</v>
      </c>
      <c r="P84" s="335">
        <v>260001</v>
      </c>
      <c r="Q84" s="336">
        <v>275001</v>
      </c>
      <c r="R84" s="199"/>
      <c r="S84" s="199"/>
      <c r="T84" s="199"/>
      <c r="U84" s="199"/>
    </row>
    <row r="85" spans="1:21" ht="15.75" x14ac:dyDescent="0.25">
      <c r="A85" s="1398"/>
      <c r="B85" s="372" t="s">
        <v>630</v>
      </c>
      <c r="C85" s="334">
        <v>0</v>
      </c>
      <c r="D85" s="335">
        <v>2081</v>
      </c>
      <c r="E85" s="335">
        <v>4181</v>
      </c>
      <c r="F85" s="335">
        <v>8181</v>
      </c>
      <c r="G85" s="335">
        <v>14161</v>
      </c>
      <c r="H85" s="335">
        <v>24201</v>
      </c>
      <c r="I85" s="335">
        <v>35001</v>
      </c>
      <c r="J85" s="335">
        <v>47001</v>
      </c>
      <c r="K85" s="335">
        <v>67001</v>
      </c>
      <c r="L85" s="335">
        <v>90001</v>
      </c>
      <c r="M85" s="335">
        <v>120001</v>
      </c>
      <c r="N85" s="335">
        <v>160001</v>
      </c>
      <c r="O85" s="335">
        <v>200001</v>
      </c>
      <c r="P85" s="335">
        <v>260001</v>
      </c>
      <c r="Q85" s="336">
        <v>340001</v>
      </c>
      <c r="R85" s="199"/>
      <c r="S85" s="199"/>
      <c r="T85" s="199"/>
      <c r="U85" s="199"/>
    </row>
    <row r="86" spans="1:21" ht="15.75" x14ac:dyDescent="0.25">
      <c r="A86" s="1398"/>
      <c r="B86" s="372" t="s">
        <v>631</v>
      </c>
      <c r="C86" s="334">
        <v>0</v>
      </c>
      <c r="D86" s="335">
        <v>1881</v>
      </c>
      <c r="E86" s="335">
        <v>3661</v>
      </c>
      <c r="F86" s="335">
        <v>7801</v>
      </c>
      <c r="G86" s="335">
        <v>14001</v>
      </c>
      <c r="H86" s="335">
        <v>24501</v>
      </c>
      <c r="I86" s="335">
        <v>35501</v>
      </c>
      <c r="J86" s="335">
        <v>48501</v>
      </c>
      <c r="K86" s="335">
        <v>68501</v>
      </c>
      <c r="L86" s="335">
        <v>91501</v>
      </c>
      <c r="M86" s="335">
        <v>131501</v>
      </c>
      <c r="N86" s="335">
        <v>171501</v>
      </c>
      <c r="O86" s="335">
        <v>221501</v>
      </c>
      <c r="P86" s="335">
        <v>271501</v>
      </c>
      <c r="Q86" s="336">
        <v>350501</v>
      </c>
      <c r="R86" s="199"/>
      <c r="S86" s="199"/>
      <c r="T86" s="199"/>
      <c r="U86" s="199"/>
    </row>
    <row r="87" spans="1:21" ht="15.75" x14ac:dyDescent="0.25">
      <c r="A87" s="1398"/>
      <c r="B87" s="372" t="s">
        <v>632</v>
      </c>
      <c r="C87" s="334">
        <v>0</v>
      </c>
      <c r="D87" s="335">
        <v>1941</v>
      </c>
      <c r="E87" s="335">
        <v>2881</v>
      </c>
      <c r="F87" s="335">
        <v>5761</v>
      </c>
      <c r="G87" s="335">
        <v>11521</v>
      </c>
      <c r="H87" s="335">
        <v>19521</v>
      </c>
      <c r="I87" s="335">
        <v>29521</v>
      </c>
      <c r="J87" s="335">
        <v>44521</v>
      </c>
      <c r="K87" s="335">
        <v>64520</v>
      </c>
      <c r="L87" s="335">
        <v>89521</v>
      </c>
      <c r="M87" s="335">
        <v>129521</v>
      </c>
      <c r="N87" s="335">
        <v>169521</v>
      </c>
      <c r="O87" s="335">
        <v>219521</v>
      </c>
      <c r="P87" s="335">
        <v>269521</v>
      </c>
      <c r="Q87" s="336">
        <v>329521</v>
      </c>
      <c r="R87" s="199"/>
      <c r="S87" s="199"/>
      <c r="T87" s="199"/>
      <c r="U87" s="199"/>
    </row>
    <row r="88" spans="1:21" ht="15.75" x14ac:dyDescent="0.25">
      <c r="A88" s="1398"/>
      <c r="B88" s="372" t="s">
        <v>633</v>
      </c>
      <c r="C88" s="334">
        <v>0</v>
      </c>
      <c r="D88" s="335">
        <v>2051</v>
      </c>
      <c r="E88" s="335">
        <v>4101</v>
      </c>
      <c r="F88" s="335">
        <v>8201</v>
      </c>
      <c r="G88" s="335">
        <v>16001</v>
      </c>
      <c r="H88" s="335">
        <v>32001</v>
      </c>
      <c r="I88" s="335">
        <v>49001</v>
      </c>
      <c r="J88" s="335">
        <v>71001</v>
      </c>
      <c r="K88" s="335">
        <v>103001</v>
      </c>
      <c r="L88" s="335">
        <v>134001</v>
      </c>
      <c r="M88" s="335">
        <v>165001</v>
      </c>
      <c r="N88" s="335">
        <v>190001</v>
      </c>
      <c r="O88" s="335">
        <v>213001</v>
      </c>
      <c r="P88" s="335">
        <v>249001</v>
      </c>
      <c r="Q88" s="336">
        <v>290001</v>
      </c>
      <c r="R88" s="199"/>
      <c r="S88" s="199"/>
      <c r="T88" s="199"/>
      <c r="U88" s="199"/>
    </row>
    <row r="89" spans="1:21" ht="16.5" thickBot="1" x14ac:dyDescent="0.3">
      <c r="A89" s="1398"/>
      <c r="B89" s="377" t="s">
        <v>634</v>
      </c>
      <c r="C89" s="334">
        <v>0</v>
      </c>
      <c r="D89" s="335">
        <v>2001</v>
      </c>
      <c r="E89" s="335">
        <v>4101</v>
      </c>
      <c r="F89" s="335">
        <v>8201</v>
      </c>
      <c r="G89" s="335">
        <v>17001</v>
      </c>
      <c r="H89" s="335">
        <v>32001</v>
      </c>
      <c r="I89" s="335">
        <v>50001</v>
      </c>
      <c r="J89" s="335">
        <v>69001</v>
      </c>
      <c r="K89" s="335">
        <v>105001</v>
      </c>
      <c r="L89" s="335">
        <v>135001</v>
      </c>
      <c r="M89" s="335">
        <v>180001</v>
      </c>
      <c r="N89" s="335">
        <v>218001</v>
      </c>
      <c r="O89" s="335">
        <v>240001</v>
      </c>
      <c r="P89" s="335">
        <v>270001</v>
      </c>
      <c r="Q89" s="336">
        <v>295001</v>
      </c>
      <c r="R89" s="199"/>
      <c r="S89" s="199"/>
      <c r="T89" s="199"/>
      <c r="U89" s="199"/>
    </row>
    <row r="90" spans="1:21" x14ac:dyDescent="0.25">
      <c r="A90" s="1441" t="s">
        <v>663</v>
      </c>
      <c r="B90" s="378" t="str">
        <f>IF(occ_custom1="", "", occ_custom1)</f>
        <v/>
      </c>
      <c r="C90" s="365">
        <f>IF(Customize!C14="", "", Customize!C14)</f>
        <v>0</v>
      </c>
      <c r="D90" s="365" t="str">
        <f>IF(Customize!C15="", "", Customize!C15)</f>
        <v/>
      </c>
      <c r="E90" s="365" t="str">
        <f>IF(Customize!C16="", "", Customize!C16)</f>
        <v/>
      </c>
      <c r="F90" s="365" t="str">
        <f>IF(Customize!C17="", "", Customize!C17)</f>
        <v/>
      </c>
      <c r="G90" s="365" t="str">
        <f>IF(Customize!C18="", "", Customize!C18)</f>
        <v/>
      </c>
      <c r="H90" s="365" t="str">
        <f>IF(Customize!C19="", "", Customize!C19)</f>
        <v/>
      </c>
      <c r="I90" s="365" t="str">
        <f>IF(Customize!C20="", "", Customize!C20)</f>
        <v/>
      </c>
      <c r="J90" s="365" t="str">
        <f>IF(Customize!C21="", "", Customize!C21)</f>
        <v/>
      </c>
      <c r="K90" s="365" t="str">
        <f>IF(Customize!C22="", "", Customize!C22)</f>
        <v/>
      </c>
      <c r="L90" s="365" t="str">
        <f>IF(Customize!C23="", "", Customize!C23)</f>
        <v/>
      </c>
      <c r="M90" s="365" t="str">
        <f>IF(Customize!C24="", "", Customize!C24)</f>
        <v/>
      </c>
      <c r="N90" s="365" t="str">
        <f>IF(Customize!C25="", "", Customize!C25)</f>
        <v/>
      </c>
      <c r="O90" s="365" t="str">
        <f>IF(Customize!C26="", "", Customize!C26)</f>
        <v/>
      </c>
      <c r="P90" s="365" t="str">
        <f>IF(Customize!C27="", "", Customize!C27)</f>
        <v/>
      </c>
      <c r="Q90" s="366" t="str">
        <f>IF(Customize!C28="", "", Customize!C28)</f>
        <v/>
      </c>
      <c r="R90" s="199"/>
      <c r="S90" s="199"/>
      <c r="T90" s="199"/>
      <c r="U90" s="199"/>
    </row>
    <row r="91" spans="1:21" x14ac:dyDescent="0.25">
      <c r="A91" s="1442"/>
      <c r="B91" s="379" t="str">
        <f>IF(occ_custom2="", "", occ_custom2)</f>
        <v/>
      </c>
      <c r="C91" s="332">
        <f>IF(Customize!E14="", "", Customize!E14)</f>
        <v>0</v>
      </c>
      <c r="D91" s="332" t="str">
        <f>IF(Customize!E15="", "", Customize!E15)</f>
        <v/>
      </c>
      <c r="E91" s="332" t="str">
        <f>IF(Customize!E16="", "", Customize!E16)</f>
        <v/>
      </c>
      <c r="F91" s="332" t="str">
        <f>IF(Customize!E17="", "", Customize!E17)</f>
        <v/>
      </c>
      <c r="G91" s="332" t="str">
        <f>IF(Customize!E18="", "", Customize!E18)</f>
        <v/>
      </c>
      <c r="H91" s="332" t="str">
        <f>IF(Customize!E19="", "", Customize!E19)</f>
        <v/>
      </c>
      <c r="I91" s="332" t="str">
        <f>IF(Customize!E20="", "", Customize!E20)</f>
        <v/>
      </c>
      <c r="J91" s="332" t="str">
        <f>IF(Customize!E21="", "", Customize!E21)</f>
        <v/>
      </c>
      <c r="K91" s="332" t="str">
        <f>IF(Customize!E22="", "", Customize!E22)</f>
        <v/>
      </c>
      <c r="L91" s="332" t="str">
        <f>IF(Customize!E23="", "", Customize!E23)</f>
        <v/>
      </c>
      <c r="M91" s="332" t="str">
        <f>IF(Customize!E24="", "", Customize!E24)</f>
        <v/>
      </c>
      <c r="N91" s="332" t="str">
        <f>IF(Customize!E25="", "", Customize!E25)</f>
        <v/>
      </c>
      <c r="O91" s="332" t="str">
        <f>IF(Customize!E26="", "", Customize!E26)</f>
        <v/>
      </c>
      <c r="P91" s="332" t="str">
        <f>IF(Customize!E27="", "", Customize!E27)</f>
        <v/>
      </c>
      <c r="Q91" s="333" t="str">
        <f>IF(Customize!E28="", "", Customize!E28)</f>
        <v/>
      </c>
      <c r="R91" s="199"/>
      <c r="S91" s="199"/>
      <c r="T91" s="199"/>
      <c r="U91" s="199"/>
    </row>
    <row r="92" spans="1:21" ht="15.75" thickBot="1" x14ac:dyDescent="0.3">
      <c r="A92" s="1443"/>
      <c r="B92" s="380" t="str">
        <f>IF(occ_custom3="", "", occ_custom3)</f>
        <v/>
      </c>
      <c r="C92" s="340">
        <f>IF(Customize!G14="", "", Customize!G14)</f>
        <v>0</v>
      </c>
      <c r="D92" s="340" t="str">
        <f>IF(Customize!G15="", "", Customize!G15)</f>
        <v/>
      </c>
      <c r="E92" s="340" t="str">
        <f>IF(Customize!G16="", "", Customize!G16)</f>
        <v/>
      </c>
      <c r="F92" s="340" t="str">
        <f>IF(Customize!G17="", "", Customize!G17)</f>
        <v/>
      </c>
      <c r="G92" s="340" t="str">
        <f>IF(Customize!G18="", "", Customize!G18)</f>
        <v/>
      </c>
      <c r="H92" s="340" t="str">
        <f>IF(Customize!G19="", "", Customize!G19)</f>
        <v/>
      </c>
      <c r="I92" s="340" t="str">
        <f>IF(Customize!G20="", "", Customize!G20)</f>
        <v/>
      </c>
      <c r="J92" s="340" t="str">
        <f>IF(Customize!G21="", "", Customize!G21)</f>
        <v/>
      </c>
      <c r="K92" s="340" t="str">
        <f>IF(Customize!G22="", "", Customize!G22)</f>
        <v/>
      </c>
      <c r="L92" s="340" t="str">
        <f>IF(Customize!G23="", "", Customize!G23)</f>
        <v/>
      </c>
      <c r="M92" s="340" t="str">
        <f>IF(Customize!G24="", "", Customize!G24)</f>
        <v/>
      </c>
      <c r="N92" s="340" t="str">
        <f>IF(Customize!G25="", "", Customize!G25)</f>
        <v/>
      </c>
      <c r="O92" s="340" t="str">
        <f>IF(Customize!G26="", "", Customize!G26)</f>
        <v/>
      </c>
      <c r="P92" s="340" t="str">
        <f>IF(Customize!G27="", "", Customize!G27)</f>
        <v/>
      </c>
      <c r="Q92" s="341" t="str">
        <f>IF(Customize!G28="", "", Customize!G28)</f>
        <v/>
      </c>
      <c r="R92" s="199"/>
      <c r="S92" s="199"/>
      <c r="T92" s="199"/>
      <c r="U92" s="199"/>
    </row>
  </sheetData>
  <sheetProtection algorithmName="SHA-512" hashValue="mt6X/X+P4pTHwcSXcI5B0XB5U6pNF2ne2youP1qEXw5DgR+NuReK9Mgdzl13E2Wr2c4Il3pt83IcQV0FzFegNw==" saltValue="O2KfX/Jad1sO/pkdO95vkA==" spinCount="100000" sheet="1" objects="1" scenarios="1" selectLockedCells="1" selectUnlockedCells="1"/>
  <mergeCells count="20">
    <mergeCell ref="S7:T7"/>
    <mergeCell ref="S8:T8"/>
    <mergeCell ref="A2:A14"/>
    <mergeCell ref="A15:A20"/>
    <mergeCell ref="A21:A40"/>
    <mergeCell ref="S9:T9"/>
    <mergeCell ref="S10:T10"/>
    <mergeCell ref="S2:T2"/>
    <mergeCell ref="S1:T1"/>
    <mergeCell ref="S3:T3"/>
    <mergeCell ref="S4:T4"/>
    <mergeCell ref="S5:T5"/>
    <mergeCell ref="S6:T6"/>
    <mergeCell ref="A63:A67"/>
    <mergeCell ref="A68:A82"/>
    <mergeCell ref="A90:A92"/>
    <mergeCell ref="S11:T11"/>
    <mergeCell ref="A83:A89"/>
    <mergeCell ref="A41:A53"/>
    <mergeCell ref="A54:A62"/>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F7BE49-96EC-4AE8-AD6A-8883957591E6}">
  <sheetPr>
    <tabColor theme="0" tint="-0.14999847407452621"/>
  </sheetPr>
  <dimension ref="A1:BD445"/>
  <sheetViews>
    <sheetView zoomScaleNormal="100" workbookViewId="0">
      <selection activeCell="A2" sqref="A2"/>
    </sheetView>
  </sheetViews>
  <sheetFormatPr defaultColWidth="9.140625" defaultRowHeight="15" x14ac:dyDescent="0.25"/>
  <cols>
    <col min="1" max="1" width="28.140625" bestFit="1" customWidth="1"/>
    <col min="15" max="15" width="19.5703125" bestFit="1" customWidth="1"/>
    <col min="26" max="26" width="18.42578125" bestFit="1" customWidth="1"/>
    <col min="27" max="27" width="10.28515625" bestFit="1" customWidth="1"/>
    <col min="28" max="29" width="9.140625" customWidth="1"/>
    <col min="30" max="30" width="10.5703125" bestFit="1" customWidth="1"/>
    <col min="39" max="39" width="18.42578125" bestFit="1" customWidth="1"/>
    <col min="43" max="43" width="10.5703125" bestFit="1" customWidth="1"/>
  </cols>
  <sheetData>
    <row r="1" spans="1:56" x14ac:dyDescent="0.25">
      <c r="A1" s="381" t="s">
        <v>214</v>
      </c>
      <c r="B1" s="381" t="s">
        <v>236</v>
      </c>
      <c r="C1" s="381" t="s">
        <v>237</v>
      </c>
      <c r="D1" s="381" t="s">
        <v>238</v>
      </c>
      <c r="E1" s="381" t="s">
        <v>239</v>
      </c>
      <c r="F1" s="381" t="s">
        <v>653</v>
      </c>
      <c r="G1" s="381" t="s">
        <v>577</v>
      </c>
      <c r="H1" s="381" t="s">
        <v>654</v>
      </c>
      <c r="I1" s="382" t="str">
        <f>IF(hth_custom="", "", hth_custom)</f>
        <v/>
      </c>
      <c r="J1" s="383"/>
      <c r="K1" s="383"/>
      <c r="L1" s="199"/>
      <c r="M1" s="199"/>
      <c r="N1" s="199"/>
      <c r="O1" s="210"/>
      <c r="P1" s="210"/>
      <c r="Q1" s="210"/>
      <c r="R1" s="210"/>
      <c r="S1" s="210"/>
      <c r="T1" s="210"/>
      <c r="U1" s="210"/>
      <c r="V1" s="210"/>
      <c r="W1" s="210"/>
      <c r="X1" s="210"/>
      <c r="Y1" s="210"/>
      <c r="Z1" s="210"/>
      <c r="AA1" s="199"/>
      <c r="AB1" s="199"/>
      <c r="AC1" s="199"/>
      <c r="AD1" s="199"/>
      <c r="AE1" s="199"/>
      <c r="AF1" s="199"/>
      <c r="AG1" s="199"/>
      <c r="AH1" s="199"/>
      <c r="AU1" s="48"/>
      <c r="AV1" s="48"/>
      <c r="AW1" s="48"/>
      <c r="AX1" s="48"/>
      <c r="AY1" s="48"/>
      <c r="AZ1" s="48"/>
      <c r="BA1" s="48"/>
      <c r="BB1" s="48"/>
      <c r="BC1" s="48"/>
      <c r="BD1" s="48"/>
    </row>
    <row r="2" spans="1:56" ht="15.75" thickBot="1" x14ac:dyDescent="0.3">
      <c r="A2" s="199"/>
      <c r="B2" s="199"/>
      <c r="C2" s="199"/>
      <c r="D2" s="199"/>
      <c r="E2" s="199"/>
      <c r="F2" s="199"/>
      <c r="G2" s="199"/>
      <c r="H2" s="199"/>
      <c r="I2" s="199"/>
      <c r="J2" s="199"/>
      <c r="K2" s="199"/>
      <c r="L2" s="199"/>
      <c r="M2" s="199"/>
      <c r="N2" s="199"/>
      <c r="O2" s="199"/>
      <c r="P2" s="199"/>
      <c r="Q2" s="199"/>
      <c r="R2" s="199"/>
      <c r="S2" s="199"/>
      <c r="T2" s="199"/>
      <c r="U2" s="199"/>
      <c r="V2" s="199"/>
      <c r="W2" s="199"/>
      <c r="X2" s="199"/>
      <c r="Y2" s="199"/>
      <c r="Z2" s="199"/>
      <c r="AA2" s="199"/>
      <c r="AB2" s="199"/>
      <c r="AC2" s="199"/>
      <c r="AD2" s="199"/>
      <c r="AE2" s="199"/>
      <c r="AF2" s="199"/>
      <c r="AG2" s="199"/>
      <c r="AH2" s="199"/>
      <c r="AU2" s="48"/>
      <c r="AV2" s="48"/>
      <c r="AW2" s="48"/>
      <c r="AX2" s="48"/>
      <c r="AY2" s="48"/>
      <c r="AZ2" s="48"/>
      <c r="BA2" s="48"/>
      <c r="BB2" s="48"/>
      <c r="BC2" s="48"/>
      <c r="BD2" s="48"/>
    </row>
    <row r="3" spans="1:56" ht="15.75" thickBot="1" x14ac:dyDescent="0.3">
      <c r="A3" s="298" t="s">
        <v>270</v>
      </c>
      <c r="B3" s="298" t="s">
        <v>102</v>
      </c>
      <c r="C3" s="298" t="s">
        <v>74</v>
      </c>
      <c r="D3" s="298" t="s">
        <v>75</v>
      </c>
      <c r="E3" s="298" t="s">
        <v>76</v>
      </c>
      <c r="F3" s="298" t="s">
        <v>77</v>
      </c>
      <c r="G3" s="298" t="s">
        <v>271</v>
      </c>
      <c r="H3" s="298" t="s">
        <v>272</v>
      </c>
      <c r="I3" s="298" t="s">
        <v>85</v>
      </c>
      <c r="J3" s="298" t="s">
        <v>273</v>
      </c>
      <c r="K3" s="298" t="s">
        <v>274</v>
      </c>
      <c r="L3" s="298" t="s">
        <v>83</v>
      </c>
      <c r="M3" s="298" t="s">
        <v>677</v>
      </c>
      <c r="N3" s="199"/>
      <c r="O3" s="44" t="s">
        <v>232</v>
      </c>
      <c r="P3" s="833" t="s">
        <v>302</v>
      </c>
      <c r="Q3" s="833"/>
      <c r="R3" s="833"/>
      <c r="S3" s="833"/>
      <c r="T3" s="833" t="s">
        <v>218</v>
      </c>
      <c r="U3" s="833"/>
      <c r="V3" s="297" t="s">
        <v>303</v>
      </c>
      <c r="W3" s="833" t="s">
        <v>305</v>
      </c>
      <c r="X3" s="832"/>
      <c r="Y3" s="199"/>
      <c r="Z3" s="1052" t="s">
        <v>218</v>
      </c>
      <c r="AA3" s="1054"/>
      <c r="AB3" s="199"/>
      <c r="AC3" s="1448" t="s">
        <v>223</v>
      </c>
      <c r="AD3" s="1081"/>
      <c r="AE3" s="1081"/>
      <c r="AF3" s="1081"/>
      <c r="AG3" s="1082"/>
      <c r="AH3" s="199"/>
      <c r="AU3" s="48"/>
      <c r="AV3" s="48"/>
      <c r="AW3" s="48"/>
      <c r="AX3" s="48"/>
      <c r="AY3" s="48"/>
      <c r="AZ3" s="48"/>
      <c r="BA3" s="48"/>
      <c r="BB3" s="48"/>
      <c r="BC3" s="48"/>
      <c r="BD3" s="48"/>
    </row>
    <row r="4" spans="1:56" ht="15.75" thickBot="1" x14ac:dyDescent="0.3">
      <c r="A4" s="384" t="str">
        <f>hth_none&amp;" "&amp;1</f>
        <v>None 1</v>
      </c>
      <c r="B4" s="335">
        <v>1</v>
      </c>
      <c r="C4" s="335"/>
      <c r="D4" s="335"/>
      <c r="E4" s="335"/>
      <c r="F4" s="335"/>
      <c r="G4" s="335"/>
      <c r="H4" s="335"/>
      <c r="I4" s="335"/>
      <c r="J4" s="335">
        <v>20</v>
      </c>
      <c r="K4" s="335"/>
      <c r="L4" s="335"/>
      <c r="M4" s="385"/>
      <c r="N4" s="199"/>
      <c r="O4" s="386" t="s">
        <v>5</v>
      </c>
      <c r="P4" s="1450" t="s">
        <v>206</v>
      </c>
      <c r="Q4" s="1450"/>
      <c r="R4" s="387" t="s">
        <v>207</v>
      </c>
      <c r="S4" s="387" t="s">
        <v>231</v>
      </c>
      <c r="T4" s="387" t="s">
        <v>300</v>
      </c>
      <c r="U4" s="387" t="s">
        <v>301</v>
      </c>
      <c r="V4" s="387" t="s">
        <v>304</v>
      </c>
      <c r="W4" s="387" t="s">
        <v>206</v>
      </c>
      <c r="X4" s="388" t="s">
        <v>207</v>
      </c>
      <c r="Y4" s="199"/>
      <c r="Z4" s="389" t="s">
        <v>221</v>
      </c>
      <c r="AA4" s="323" t="str">
        <f>VLOOKUP(total_ps, sn_ps_punch, 2, TRUE)&amp;"+"&amp;total_damage</f>
        <v>1D4+0</v>
      </c>
      <c r="AB4" s="199"/>
      <c r="AC4" s="390" t="s">
        <v>14</v>
      </c>
      <c r="AD4" s="391" t="s">
        <v>219</v>
      </c>
      <c r="AE4" s="391" t="s">
        <v>224</v>
      </c>
      <c r="AF4" s="391" t="s">
        <v>207</v>
      </c>
      <c r="AG4" s="392" t="s">
        <v>231</v>
      </c>
      <c r="AH4" s="199"/>
      <c r="AU4" s="48"/>
      <c r="AV4" s="48"/>
      <c r="AW4" s="48"/>
      <c r="AX4" s="48"/>
      <c r="AY4" s="48"/>
      <c r="AZ4" s="48"/>
      <c r="BA4" s="48"/>
      <c r="BB4" s="48"/>
      <c r="BC4" s="48"/>
      <c r="BD4" s="48"/>
    </row>
    <row r="5" spans="1:56" x14ac:dyDescent="0.25">
      <c r="A5" s="384" t="str">
        <f>hth_none&amp;" "&amp;2</f>
        <v>None 2</v>
      </c>
      <c r="B5" s="335">
        <v>1</v>
      </c>
      <c r="C5" s="335"/>
      <c r="D5" s="335"/>
      <c r="E5" s="335"/>
      <c r="F5" s="335"/>
      <c r="G5" s="335"/>
      <c r="H5" s="335"/>
      <c r="I5" s="335"/>
      <c r="J5" s="335">
        <v>20</v>
      </c>
      <c r="K5" s="335"/>
      <c r="L5" s="335"/>
      <c r="M5" s="385"/>
      <c r="N5" s="199"/>
      <c r="O5" s="393" t="s">
        <v>200</v>
      </c>
      <c r="P5" s="394">
        <v>1</v>
      </c>
      <c r="Q5" s="395" t="str">
        <f>"D4+"&amp;total_damage</f>
        <v>D4+0</v>
      </c>
      <c r="R5" s="396" t="str">
        <f>P5*2&amp;"D4+"&amp;total_damage</f>
        <v>2D4+0</v>
      </c>
      <c r="S5" s="397">
        <v>4</v>
      </c>
      <c r="T5" s="396" t="str">
        <f t="shared" ref="T5:T19" si="0">IF(VLOOKUP(total_ps, sn_ps_punch, 5, TRUE)&gt;S5, $AA$5, P5&amp;Q5)</f>
        <v>1D6+0</v>
      </c>
      <c r="U5" s="397" t="str">
        <f t="shared" ref="U5:U17" si="1">IF(VLOOKUP(total_ps, sn_ps_punch, 5, TRUE)&gt;S5, $AA$6, R5)</f>
        <v>2D6+0</v>
      </c>
      <c r="V5" s="398" t="b">
        <v>1</v>
      </c>
      <c r="W5" s="398" t="str">
        <f>IF(ps_type="Supernatural", T5, P5&amp;Q5)</f>
        <v>1D4+0</v>
      </c>
      <c r="X5" s="399" t="str">
        <f t="shared" ref="X5:X17" si="2">IF(ps_type="Supernatural", U5, R5)</f>
        <v>2D4+0</v>
      </c>
      <c r="Y5" s="199"/>
      <c r="Z5" s="400" t="s">
        <v>222</v>
      </c>
      <c r="AA5" s="333" t="str">
        <f>VLOOKUP(total_ps, sn_ps_punch, 3, TRUE)&amp;"+"&amp;total_damage</f>
        <v>1D6+0</v>
      </c>
      <c r="AB5" s="199"/>
      <c r="AC5" s="401">
        <v>0</v>
      </c>
      <c r="AD5" s="328" t="s">
        <v>209</v>
      </c>
      <c r="AE5" s="328" t="s">
        <v>208</v>
      </c>
      <c r="AF5" s="328" t="s">
        <v>211</v>
      </c>
      <c r="AG5" s="402">
        <v>6</v>
      </c>
      <c r="AH5" s="199"/>
      <c r="AU5" s="48"/>
      <c r="AV5" s="48"/>
      <c r="AW5" s="48"/>
      <c r="AX5" s="48"/>
      <c r="AY5" s="48"/>
      <c r="AZ5" s="48"/>
      <c r="BA5" s="48"/>
      <c r="BB5" s="48"/>
      <c r="BC5" s="48"/>
      <c r="BD5" s="48"/>
    </row>
    <row r="6" spans="1:56" ht="15.75" thickBot="1" x14ac:dyDescent="0.3">
      <c r="A6" s="384" t="str">
        <f>hth_none&amp;" "&amp;3</f>
        <v>None 3</v>
      </c>
      <c r="B6" s="335">
        <v>1</v>
      </c>
      <c r="C6" s="335"/>
      <c r="D6" s="335"/>
      <c r="E6" s="335"/>
      <c r="F6" s="335"/>
      <c r="G6" s="335"/>
      <c r="H6" s="335"/>
      <c r="I6" s="335"/>
      <c r="J6" s="335">
        <v>20</v>
      </c>
      <c r="K6" s="335"/>
      <c r="L6" s="335"/>
      <c r="M6" s="385"/>
      <c r="N6" s="199"/>
      <c r="O6" s="403" t="s">
        <v>192</v>
      </c>
      <c r="P6" s="394">
        <v>1</v>
      </c>
      <c r="Q6" s="395" t="str">
        <f>"D6+"&amp;total_damage</f>
        <v>D6+0</v>
      </c>
      <c r="R6" s="404" t="str">
        <f>P6*2&amp;"D6+"&amp;total_damage</f>
        <v>2D6+0</v>
      </c>
      <c r="S6" s="405">
        <v>6</v>
      </c>
      <c r="T6" s="404" t="str">
        <f t="shared" si="0"/>
        <v>1D6+0</v>
      </c>
      <c r="U6" s="405" t="str">
        <f t="shared" si="1"/>
        <v>2D6+0</v>
      </c>
      <c r="V6" s="406" t="b">
        <v>0</v>
      </c>
      <c r="W6" s="398" t="str">
        <f t="shared" ref="W6:W22" si="3">IF(ps_type="Supernatural", T6, P6&amp;Q6)</f>
        <v>1D6+0</v>
      </c>
      <c r="X6" s="399" t="str">
        <f t="shared" si="2"/>
        <v>2D6+0</v>
      </c>
      <c r="Y6" s="199"/>
      <c r="Z6" s="407" t="s">
        <v>220</v>
      </c>
      <c r="AA6" s="341" t="str">
        <f>VLOOKUP(total_ps, sn_ps_punch, 4, TRUE)&amp;"+"&amp;total_damage</f>
        <v>2D6+0</v>
      </c>
      <c r="AB6" s="199"/>
      <c r="AC6" s="401">
        <v>16</v>
      </c>
      <c r="AD6" s="328" t="s">
        <v>208</v>
      </c>
      <c r="AE6" s="328" t="s">
        <v>211</v>
      </c>
      <c r="AF6" s="328" t="s">
        <v>217</v>
      </c>
      <c r="AG6" s="402">
        <v>12</v>
      </c>
      <c r="AH6" s="199"/>
      <c r="AU6" s="48"/>
      <c r="AV6" s="48"/>
      <c r="AW6" s="48"/>
      <c r="AX6" s="48"/>
      <c r="AY6" s="48"/>
      <c r="AZ6" s="48"/>
      <c r="BA6" s="48"/>
      <c r="BB6" s="48"/>
      <c r="BC6" s="48"/>
      <c r="BD6" s="48"/>
    </row>
    <row r="7" spans="1:56" x14ac:dyDescent="0.25">
      <c r="A7" s="384" t="str">
        <f>hth_none&amp;" "&amp;4</f>
        <v>None 4</v>
      </c>
      <c r="B7" s="335">
        <v>1</v>
      </c>
      <c r="C7" s="335"/>
      <c r="D7" s="335"/>
      <c r="E7" s="335"/>
      <c r="F7" s="335"/>
      <c r="G7" s="335"/>
      <c r="H7" s="335"/>
      <c r="I7" s="335"/>
      <c r="J7" s="335">
        <v>20</v>
      </c>
      <c r="K7" s="335"/>
      <c r="L7" s="335"/>
      <c r="M7" s="385"/>
      <c r="N7" s="199"/>
      <c r="O7" s="403" t="s">
        <v>241</v>
      </c>
      <c r="P7" s="394">
        <v>1</v>
      </c>
      <c r="Q7" s="395" t="str">
        <f>"D6+"&amp;total_damage</f>
        <v>D6+0</v>
      </c>
      <c r="R7" s="404" t="str">
        <f>P7*2&amp;"D6+"&amp;total_damage</f>
        <v>2D6+0</v>
      </c>
      <c r="S7" s="405">
        <v>6</v>
      </c>
      <c r="T7" s="404" t="str">
        <f t="shared" si="0"/>
        <v>1D6+0</v>
      </c>
      <c r="U7" s="405" t="str">
        <f t="shared" si="1"/>
        <v>2D6+0</v>
      </c>
      <c r="V7" s="406" t="b">
        <v>0</v>
      </c>
      <c r="W7" s="398" t="str">
        <f t="shared" si="3"/>
        <v>1D6+0</v>
      </c>
      <c r="X7" s="399" t="str">
        <f t="shared" si="2"/>
        <v>2D6+0</v>
      </c>
      <c r="Y7" s="199"/>
      <c r="Z7" s="199"/>
      <c r="AA7" s="199"/>
      <c r="AB7" s="199"/>
      <c r="AC7" s="401">
        <v>21</v>
      </c>
      <c r="AD7" s="328" t="s">
        <v>210</v>
      </c>
      <c r="AE7" s="328" t="s">
        <v>212</v>
      </c>
      <c r="AF7" s="328" t="s">
        <v>215</v>
      </c>
      <c r="AG7" s="402">
        <v>18</v>
      </c>
      <c r="AH7" s="199"/>
      <c r="AU7" s="48"/>
      <c r="AV7" s="48"/>
      <c r="AW7" s="48"/>
      <c r="AX7" s="48"/>
      <c r="AY7" s="48"/>
      <c r="AZ7" s="48"/>
      <c r="BA7" s="48"/>
      <c r="BB7" s="48"/>
      <c r="BC7" s="48"/>
      <c r="BD7" s="48"/>
    </row>
    <row r="8" spans="1:56" ht="15.75" thickBot="1" x14ac:dyDescent="0.3">
      <c r="A8" s="384" t="str">
        <f>hth_none&amp;" "&amp;5</f>
        <v>None 5</v>
      </c>
      <c r="B8" s="335">
        <v>1</v>
      </c>
      <c r="C8" s="335"/>
      <c r="D8" s="335"/>
      <c r="E8" s="335"/>
      <c r="F8" s="335"/>
      <c r="G8" s="335"/>
      <c r="H8" s="335"/>
      <c r="I8" s="335"/>
      <c r="J8" s="335">
        <v>20</v>
      </c>
      <c r="K8" s="335"/>
      <c r="L8" s="335"/>
      <c r="M8" s="385"/>
      <c r="N8" s="199"/>
      <c r="O8" s="403" t="s">
        <v>193</v>
      </c>
      <c r="P8" s="394">
        <v>2</v>
      </c>
      <c r="Q8" s="395" t="str">
        <f>"D4+"&amp;total_damage</f>
        <v>D4+0</v>
      </c>
      <c r="R8" s="404" t="str">
        <f>P8*2&amp;"D4+"&amp;total_damage</f>
        <v>4D4+0</v>
      </c>
      <c r="S8" s="405">
        <v>8</v>
      </c>
      <c r="T8" s="404" t="str">
        <f t="shared" si="0"/>
        <v>2D4+0</v>
      </c>
      <c r="U8" s="405" t="str">
        <f t="shared" si="1"/>
        <v>4D4+0</v>
      </c>
      <c r="V8" s="406" t="b">
        <v>0</v>
      </c>
      <c r="W8" s="398" t="str">
        <f t="shared" si="3"/>
        <v>2D4+0</v>
      </c>
      <c r="X8" s="399" t="str">
        <f t="shared" si="2"/>
        <v>4D4+0</v>
      </c>
      <c r="Y8" s="199"/>
      <c r="Z8" s="199"/>
      <c r="AA8" s="199"/>
      <c r="AB8" s="199"/>
      <c r="AC8" s="401">
        <v>26</v>
      </c>
      <c r="AD8" s="328" t="s">
        <v>211</v>
      </c>
      <c r="AE8" s="328" t="s">
        <v>217</v>
      </c>
      <c r="AF8" s="328" t="s">
        <v>225</v>
      </c>
      <c r="AG8" s="402">
        <v>24</v>
      </c>
      <c r="AH8" s="199"/>
      <c r="AU8" s="48"/>
      <c r="AV8" s="48"/>
      <c r="AW8" s="48"/>
      <c r="AX8" s="48"/>
      <c r="AY8" s="48"/>
      <c r="AZ8" s="48"/>
      <c r="BA8" s="48"/>
      <c r="BB8" s="48"/>
      <c r="BC8" s="48"/>
      <c r="BD8" s="48"/>
    </row>
    <row r="9" spans="1:56" ht="15.75" thickBot="1" x14ac:dyDescent="0.3">
      <c r="A9" s="384" t="str">
        <f>hth_none&amp;" "&amp;6</f>
        <v>None 6</v>
      </c>
      <c r="B9" s="335">
        <v>2</v>
      </c>
      <c r="C9" s="335"/>
      <c r="D9" s="335"/>
      <c r="E9" s="335"/>
      <c r="F9" s="335"/>
      <c r="G9" s="335"/>
      <c r="H9" s="335"/>
      <c r="I9" s="335"/>
      <c r="J9" s="335">
        <v>20</v>
      </c>
      <c r="K9" s="335"/>
      <c r="L9" s="335"/>
      <c r="M9" s="385"/>
      <c r="N9" s="199"/>
      <c r="O9" s="408" t="s">
        <v>194</v>
      </c>
      <c r="P9" s="409">
        <v>1</v>
      </c>
      <c r="Q9" s="410" t="str">
        <f>"D6+"&amp;total_damage</f>
        <v>D6+0</v>
      </c>
      <c r="R9" s="411" t="str">
        <f>P9*2&amp;"D6+"&amp;total_damage</f>
        <v>2D6+0</v>
      </c>
      <c r="S9" s="412">
        <v>6</v>
      </c>
      <c r="T9" s="411" t="str">
        <f t="shared" si="0"/>
        <v>1D6+0</v>
      </c>
      <c r="U9" s="412" t="str">
        <f t="shared" si="1"/>
        <v>2D6+0</v>
      </c>
      <c r="V9" s="413" t="b">
        <v>0</v>
      </c>
      <c r="W9" s="414" t="str">
        <f t="shared" si="3"/>
        <v>1D6+0</v>
      </c>
      <c r="X9" s="415" t="str">
        <f t="shared" si="2"/>
        <v>2D6+0</v>
      </c>
      <c r="Y9" s="199"/>
      <c r="Z9" s="1052" t="s">
        <v>319</v>
      </c>
      <c r="AA9" s="1054"/>
      <c r="AB9" s="199"/>
      <c r="AC9" s="401">
        <v>31</v>
      </c>
      <c r="AD9" s="328" t="s">
        <v>211</v>
      </c>
      <c r="AE9" s="328" t="s">
        <v>226</v>
      </c>
      <c r="AF9" s="328" t="s">
        <v>227</v>
      </c>
      <c r="AG9" s="402">
        <v>30</v>
      </c>
      <c r="AH9" s="199"/>
      <c r="AU9" s="48"/>
      <c r="AV9" s="48"/>
      <c r="AW9" s="48"/>
      <c r="AX9" s="48"/>
      <c r="AY9" s="48"/>
      <c r="AZ9" s="48"/>
      <c r="BA9" s="48"/>
      <c r="BB9" s="48"/>
      <c r="BC9" s="48"/>
      <c r="BD9" s="48"/>
    </row>
    <row r="10" spans="1:56" ht="15.75" thickBot="1" x14ac:dyDescent="0.3">
      <c r="A10" s="384" t="str">
        <f>hth_none&amp;" "&amp;7</f>
        <v>None 7</v>
      </c>
      <c r="B10" s="335">
        <v>2</v>
      </c>
      <c r="C10" s="335"/>
      <c r="D10" s="335"/>
      <c r="E10" s="335"/>
      <c r="F10" s="335"/>
      <c r="G10" s="335"/>
      <c r="H10" s="335"/>
      <c r="I10" s="335"/>
      <c r="J10" s="335">
        <v>20</v>
      </c>
      <c r="K10" s="335"/>
      <c r="L10" s="335"/>
      <c r="M10" s="385"/>
      <c r="N10" s="199"/>
      <c r="O10" s="393" t="s">
        <v>199</v>
      </c>
      <c r="P10" s="394">
        <v>2</v>
      </c>
      <c r="Q10" s="395" t="str">
        <f>"D4+"&amp;total_damage</f>
        <v>D4+0</v>
      </c>
      <c r="R10" s="396" t="str">
        <f>P10*2&amp;"D4+"&amp;total_damage</f>
        <v>4D4+0</v>
      </c>
      <c r="S10" s="397">
        <v>8</v>
      </c>
      <c r="T10" s="396" t="str">
        <f t="shared" si="0"/>
        <v>2D4+0</v>
      </c>
      <c r="U10" s="397" t="str">
        <f t="shared" si="1"/>
        <v>4D4+0</v>
      </c>
      <c r="V10" s="398" t="b">
        <v>0</v>
      </c>
      <c r="W10" s="398" t="str">
        <f t="shared" si="3"/>
        <v>2D4+0</v>
      </c>
      <c r="X10" s="399" t="str">
        <f t="shared" si="2"/>
        <v>4D4+0</v>
      </c>
      <c r="Y10" s="199"/>
      <c r="Z10" s="416" t="s">
        <v>320</v>
      </c>
      <c r="AA10" s="417" t="str">
        <f>IF(ps_type="Supernatural", VLOOKUP(total_ps, sn_ps_punch, 3, TRUE), "1D4")</f>
        <v>1D4</v>
      </c>
      <c r="AB10" s="199"/>
      <c r="AC10" s="401">
        <v>36</v>
      </c>
      <c r="AD10" s="328" t="s">
        <v>211</v>
      </c>
      <c r="AE10" s="328" t="s">
        <v>215</v>
      </c>
      <c r="AF10" s="328" t="s">
        <v>228</v>
      </c>
      <c r="AG10" s="402">
        <v>36</v>
      </c>
      <c r="AH10" s="199"/>
      <c r="AU10" s="48"/>
      <c r="AV10" s="48"/>
      <c r="AW10" s="48"/>
      <c r="AX10" s="48"/>
      <c r="AY10" s="48"/>
      <c r="AZ10" s="48"/>
      <c r="BA10" s="48"/>
      <c r="BB10" s="48"/>
      <c r="BC10" s="48"/>
      <c r="BD10" s="48"/>
    </row>
    <row r="11" spans="1:56" x14ac:dyDescent="0.25">
      <c r="A11" s="384" t="str">
        <f>hth_none&amp;" "&amp;8</f>
        <v>None 8</v>
      </c>
      <c r="B11" s="335">
        <v>2</v>
      </c>
      <c r="C11" s="335"/>
      <c r="D11" s="335"/>
      <c r="E11" s="335"/>
      <c r="F11" s="335"/>
      <c r="G11" s="335"/>
      <c r="H11" s="335"/>
      <c r="I11" s="335"/>
      <c r="J11" s="335">
        <v>20</v>
      </c>
      <c r="K11" s="335"/>
      <c r="L11" s="335"/>
      <c r="M11" s="385"/>
      <c r="N11" s="199"/>
      <c r="O11" s="403" t="s">
        <v>204</v>
      </c>
      <c r="P11" s="394">
        <v>2</v>
      </c>
      <c r="Q11" s="395" t="str">
        <f>"D6+"&amp;total_damage</f>
        <v>D6+0</v>
      </c>
      <c r="R11" s="404" t="str">
        <f>P11*2&amp;"D6+"&amp;total_damage</f>
        <v>4D6+0</v>
      </c>
      <c r="S11" s="405">
        <v>12</v>
      </c>
      <c r="T11" s="404" t="str">
        <f t="shared" si="0"/>
        <v>2D6+0</v>
      </c>
      <c r="U11" s="405" t="str">
        <f t="shared" si="1"/>
        <v>4D6+0</v>
      </c>
      <c r="V11" s="406" t="b">
        <v>0</v>
      </c>
      <c r="W11" s="398" t="str">
        <f t="shared" si="3"/>
        <v>2D6+0</v>
      </c>
      <c r="X11" s="399" t="str">
        <f t="shared" si="2"/>
        <v>4D6+0</v>
      </c>
      <c r="Y11" s="199"/>
      <c r="Z11" s="199"/>
      <c r="AA11" s="199"/>
      <c r="AB11" s="199"/>
      <c r="AC11" s="401">
        <v>41</v>
      </c>
      <c r="AD11" s="328" t="s">
        <v>211</v>
      </c>
      <c r="AE11" s="328" t="s">
        <v>227</v>
      </c>
      <c r="AF11" s="328" t="s">
        <v>229</v>
      </c>
      <c r="AG11" s="402">
        <v>60</v>
      </c>
      <c r="AH11" s="199"/>
      <c r="AU11" s="48"/>
      <c r="AV11" s="48"/>
      <c r="AW11" s="48"/>
      <c r="AX11" s="48"/>
      <c r="AY11" s="48"/>
      <c r="AZ11" s="48"/>
      <c r="BA11" s="48"/>
      <c r="BB11" s="48"/>
      <c r="BC11" s="48"/>
      <c r="BD11" s="48"/>
    </row>
    <row r="12" spans="1:56" ht="15.75" thickBot="1" x14ac:dyDescent="0.3">
      <c r="A12" s="384" t="str">
        <f>hth_none&amp;" "&amp;9</f>
        <v>None 9</v>
      </c>
      <c r="B12" s="335">
        <v>2</v>
      </c>
      <c r="C12" s="335"/>
      <c r="D12" s="335"/>
      <c r="E12" s="335"/>
      <c r="F12" s="335"/>
      <c r="G12" s="335"/>
      <c r="H12" s="335"/>
      <c r="I12" s="335"/>
      <c r="J12" s="335">
        <v>20</v>
      </c>
      <c r="K12" s="335"/>
      <c r="L12" s="335"/>
      <c r="M12" s="385"/>
      <c r="N12" s="199"/>
      <c r="O12" s="403" t="s">
        <v>205</v>
      </c>
      <c r="P12" s="394">
        <v>2</v>
      </c>
      <c r="Q12" s="395" t="str">
        <f>"D4+"&amp;total_damage+2</f>
        <v>D4+2</v>
      </c>
      <c r="R12" s="404" t="str">
        <f>P12*2&amp;"D4+"&amp;total_damage+4</f>
        <v>4D4+4</v>
      </c>
      <c r="S12" s="405">
        <v>10</v>
      </c>
      <c r="T12" s="404" t="str">
        <f t="shared" si="0"/>
        <v>2D4+2</v>
      </c>
      <c r="U12" s="405" t="str">
        <f t="shared" si="1"/>
        <v>4D4+4</v>
      </c>
      <c r="V12" s="406" t="b">
        <v>0</v>
      </c>
      <c r="W12" s="398" t="str">
        <f t="shared" si="3"/>
        <v>2D4+2</v>
      </c>
      <c r="X12" s="399" t="str">
        <f t="shared" si="2"/>
        <v>4D4+4</v>
      </c>
      <c r="Y12" s="199"/>
      <c r="Z12" s="199"/>
      <c r="AA12" s="199"/>
      <c r="AB12" s="199"/>
      <c r="AC12" s="418">
        <v>51</v>
      </c>
      <c r="AD12" s="419" t="s">
        <v>211</v>
      </c>
      <c r="AE12" s="419" t="s">
        <v>228</v>
      </c>
      <c r="AF12" s="419" t="s">
        <v>230</v>
      </c>
      <c r="AG12" s="420">
        <v>80</v>
      </c>
      <c r="AH12" s="199"/>
      <c r="AU12" s="48"/>
      <c r="AV12" s="48"/>
      <c r="AW12" s="48"/>
      <c r="AX12" s="48"/>
      <c r="AY12" s="48"/>
      <c r="AZ12" s="48"/>
      <c r="BA12" s="48"/>
      <c r="BB12" s="48"/>
      <c r="BC12" s="48"/>
      <c r="BD12" s="48"/>
    </row>
    <row r="13" spans="1:56" x14ac:dyDescent="0.25">
      <c r="A13" s="384" t="str">
        <f>hth_none&amp;" "&amp;10</f>
        <v>None 10</v>
      </c>
      <c r="B13" s="335">
        <v>2</v>
      </c>
      <c r="C13" s="335"/>
      <c r="D13" s="335"/>
      <c r="E13" s="335"/>
      <c r="F13" s="335"/>
      <c r="G13" s="335"/>
      <c r="H13" s="335"/>
      <c r="I13" s="335"/>
      <c r="J13" s="335">
        <v>20</v>
      </c>
      <c r="K13" s="335"/>
      <c r="L13" s="335"/>
      <c r="M13" s="385"/>
      <c r="N13" s="199"/>
      <c r="O13" s="403" t="s">
        <v>195</v>
      </c>
      <c r="P13" s="394">
        <v>2</v>
      </c>
      <c r="Q13" s="395" t="str">
        <f t="shared" ref="Q13:Q19" si="4">"D6+"&amp;total_damage</f>
        <v>D6+0</v>
      </c>
      <c r="R13" s="404" t="str">
        <f>P13*2&amp;"D6+"&amp;total_damage</f>
        <v>4D6+0</v>
      </c>
      <c r="S13" s="405">
        <v>12</v>
      </c>
      <c r="T13" s="404" t="str">
        <f t="shared" si="0"/>
        <v>2D6+0</v>
      </c>
      <c r="U13" s="405" t="str">
        <f t="shared" si="1"/>
        <v>4D6+0</v>
      </c>
      <c r="V13" s="406" t="b">
        <v>0</v>
      </c>
      <c r="W13" s="398" t="str">
        <f t="shared" si="3"/>
        <v>2D6+0</v>
      </c>
      <c r="X13" s="399" t="str">
        <f t="shared" si="2"/>
        <v>4D6+0</v>
      </c>
      <c r="Y13" s="199"/>
      <c r="Z13" s="199"/>
      <c r="AA13" s="199"/>
      <c r="AB13" s="199"/>
      <c r="AC13" s="199"/>
      <c r="AD13" s="199"/>
      <c r="AE13" s="199"/>
      <c r="AF13" s="199"/>
      <c r="AG13" s="199"/>
      <c r="AH13" s="199"/>
      <c r="AU13" s="48"/>
      <c r="AV13" s="48"/>
      <c r="AW13" s="48"/>
      <c r="AX13" s="48"/>
      <c r="AY13" s="48"/>
      <c r="AZ13" s="48"/>
      <c r="BA13" s="48"/>
      <c r="BB13" s="48"/>
      <c r="BC13" s="48"/>
      <c r="BD13" s="48"/>
    </row>
    <row r="14" spans="1:56" x14ac:dyDescent="0.25">
      <c r="A14" s="384" t="str">
        <f>hth_none&amp;" "&amp;11</f>
        <v>None 11</v>
      </c>
      <c r="B14" s="335">
        <v>2</v>
      </c>
      <c r="C14" s="335"/>
      <c r="D14" s="335"/>
      <c r="E14" s="335"/>
      <c r="F14" s="335"/>
      <c r="G14" s="335"/>
      <c r="H14" s="335"/>
      <c r="I14" s="335"/>
      <c r="J14" s="335">
        <v>20</v>
      </c>
      <c r="K14" s="335"/>
      <c r="L14" s="335"/>
      <c r="M14" s="385"/>
      <c r="N14" s="199"/>
      <c r="O14" s="403" t="s">
        <v>197</v>
      </c>
      <c r="P14" s="394">
        <v>3</v>
      </c>
      <c r="Q14" s="395" t="str">
        <f t="shared" si="4"/>
        <v>D6+0</v>
      </c>
      <c r="R14" s="404" t="str">
        <f>P14*2&amp;"D6+"&amp;total_damage</f>
        <v>6D6+0</v>
      </c>
      <c r="S14" s="405">
        <v>18</v>
      </c>
      <c r="T14" s="404" t="str">
        <f t="shared" si="0"/>
        <v>3D6+0</v>
      </c>
      <c r="U14" s="405" t="str">
        <f t="shared" si="1"/>
        <v>6D6+0</v>
      </c>
      <c r="V14" s="406" t="b">
        <v>0</v>
      </c>
      <c r="W14" s="398" t="str">
        <f t="shared" si="3"/>
        <v>3D6+0</v>
      </c>
      <c r="X14" s="399" t="str">
        <f t="shared" si="2"/>
        <v>6D6+0</v>
      </c>
      <c r="Y14" s="199"/>
      <c r="Z14" s="199"/>
      <c r="AA14" s="199"/>
      <c r="AB14" s="199"/>
      <c r="AC14" s="199"/>
      <c r="AD14" s="199"/>
      <c r="AE14" s="199"/>
      <c r="AF14" s="199"/>
      <c r="AG14" s="199"/>
      <c r="AH14" s="199"/>
      <c r="AU14" s="48"/>
      <c r="AV14" s="48"/>
      <c r="AW14" s="48"/>
      <c r="AX14" s="48"/>
      <c r="AY14" s="48"/>
      <c r="AZ14" s="48"/>
      <c r="BA14" s="48"/>
      <c r="BB14" s="48"/>
      <c r="BC14" s="48"/>
      <c r="BD14" s="48"/>
    </row>
    <row r="15" spans="1:56" x14ac:dyDescent="0.25">
      <c r="A15" s="384" t="str">
        <f>hth_none&amp;" "&amp;12</f>
        <v>None 12</v>
      </c>
      <c r="B15" s="335">
        <v>3</v>
      </c>
      <c r="C15" s="335"/>
      <c r="D15" s="335"/>
      <c r="E15" s="335"/>
      <c r="F15" s="335"/>
      <c r="G15" s="335"/>
      <c r="H15" s="335"/>
      <c r="I15" s="335"/>
      <c r="J15" s="335">
        <v>20</v>
      </c>
      <c r="K15" s="335"/>
      <c r="L15" s="335"/>
      <c r="M15" s="385"/>
      <c r="N15" s="199"/>
      <c r="O15" s="403" t="s">
        <v>198</v>
      </c>
      <c r="P15" s="394">
        <v>1</v>
      </c>
      <c r="Q15" s="395" t="str">
        <f t="shared" si="4"/>
        <v>D6+0</v>
      </c>
      <c r="R15" s="404" t="str">
        <f>P15*2&amp;"D6+"&amp;total_damage</f>
        <v>2D6+0</v>
      </c>
      <c r="S15" s="405">
        <v>6</v>
      </c>
      <c r="T15" s="404" t="str">
        <f t="shared" si="0"/>
        <v>1D6+0</v>
      </c>
      <c r="U15" s="405" t="str">
        <f t="shared" si="1"/>
        <v>2D6+0</v>
      </c>
      <c r="V15" s="406" t="b">
        <v>0</v>
      </c>
      <c r="W15" s="398" t="str">
        <f t="shared" si="3"/>
        <v>1D6+0</v>
      </c>
      <c r="X15" s="399" t="str">
        <f t="shared" si="2"/>
        <v>2D6+0</v>
      </c>
      <c r="Y15" s="199"/>
      <c r="Z15" s="199"/>
      <c r="AA15" s="199"/>
      <c r="AB15" s="199"/>
      <c r="AC15" s="199"/>
      <c r="AD15" s="199"/>
      <c r="AE15" s="199"/>
      <c r="AF15" s="199"/>
      <c r="AG15" s="199"/>
      <c r="AH15" s="199"/>
      <c r="AU15" s="48"/>
      <c r="AV15" s="48"/>
      <c r="AW15" s="48"/>
      <c r="AX15" s="48"/>
      <c r="AY15" s="48"/>
      <c r="AZ15" s="48"/>
      <c r="BA15" s="48"/>
      <c r="BB15" s="48"/>
      <c r="BC15" s="48"/>
      <c r="BD15" s="48"/>
    </row>
    <row r="16" spans="1:56" x14ac:dyDescent="0.25">
      <c r="A16" s="384" t="str">
        <f>hth_none&amp;" "&amp;13</f>
        <v>None 13</v>
      </c>
      <c r="B16" s="335">
        <v>3</v>
      </c>
      <c r="C16" s="335"/>
      <c r="D16" s="335"/>
      <c r="E16" s="335"/>
      <c r="F16" s="335"/>
      <c r="G16" s="335"/>
      <c r="H16" s="335"/>
      <c r="I16" s="335"/>
      <c r="J16" s="335">
        <v>20</v>
      </c>
      <c r="K16" s="335"/>
      <c r="L16" s="335"/>
      <c r="M16" s="385"/>
      <c r="N16" s="199"/>
      <c r="O16" s="403" t="s">
        <v>201</v>
      </c>
      <c r="P16" s="394">
        <v>2</v>
      </c>
      <c r="Q16" s="395" t="str">
        <f t="shared" si="4"/>
        <v>D6+0</v>
      </c>
      <c r="R16" s="404" t="str">
        <f>P16*2&amp;"D6+"&amp;total_damage</f>
        <v>4D6+0</v>
      </c>
      <c r="S16" s="405">
        <v>12</v>
      </c>
      <c r="T16" s="404" t="str">
        <f t="shared" si="0"/>
        <v>2D6+0</v>
      </c>
      <c r="U16" s="405" t="str">
        <f t="shared" si="1"/>
        <v>4D6+0</v>
      </c>
      <c r="V16" s="406" t="b">
        <v>0</v>
      </c>
      <c r="W16" s="398" t="str">
        <f t="shared" si="3"/>
        <v>2D6+0</v>
      </c>
      <c r="X16" s="399" t="str">
        <f t="shared" si="2"/>
        <v>4D6+0</v>
      </c>
      <c r="Y16" s="199"/>
      <c r="Z16" s="199"/>
      <c r="AA16" s="199"/>
      <c r="AB16" s="199"/>
      <c r="AC16" s="199"/>
      <c r="AD16" s="199"/>
      <c r="AE16" s="199"/>
      <c r="AF16" s="199"/>
      <c r="AG16" s="199"/>
      <c r="AH16" s="199"/>
      <c r="AU16" s="48"/>
      <c r="AV16" s="48"/>
      <c r="AW16" s="48"/>
      <c r="AX16" s="48"/>
      <c r="AY16" s="48"/>
      <c r="AZ16" s="48"/>
      <c r="BA16" s="48"/>
      <c r="BB16" s="48"/>
      <c r="BC16" s="48"/>
      <c r="BD16" s="48"/>
    </row>
    <row r="17" spans="1:56" x14ac:dyDescent="0.25">
      <c r="A17" s="384" t="str">
        <f>hth_none&amp;" "&amp;14</f>
        <v>None 14</v>
      </c>
      <c r="B17" s="335">
        <v>3</v>
      </c>
      <c r="C17" s="335"/>
      <c r="D17" s="335"/>
      <c r="E17" s="335"/>
      <c r="F17" s="335"/>
      <c r="G17" s="335"/>
      <c r="H17" s="335"/>
      <c r="I17" s="335"/>
      <c r="J17" s="335">
        <v>20</v>
      </c>
      <c r="K17" s="335"/>
      <c r="L17" s="335"/>
      <c r="M17" s="385"/>
      <c r="N17" s="199"/>
      <c r="O17" s="403" t="s">
        <v>202</v>
      </c>
      <c r="P17" s="394">
        <v>1</v>
      </c>
      <c r="Q17" s="395" t="str">
        <f t="shared" si="4"/>
        <v>D6+0</v>
      </c>
      <c r="R17" s="404" t="str">
        <f>P17*2&amp;"D6+"&amp;total_damage</f>
        <v>2D6+0</v>
      </c>
      <c r="S17" s="405">
        <v>6</v>
      </c>
      <c r="T17" s="404" t="str">
        <f t="shared" si="0"/>
        <v>1D6+0</v>
      </c>
      <c r="U17" s="405" t="str">
        <f t="shared" si="1"/>
        <v>2D6+0</v>
      </c>
      <c r="V17" s="406" t="b">
        <v>0</v>
      </c>
      <c r="W17" s="398" t="str">
        <f t="shared" si="3"/>
        <v>1D6+0</v>
      </c>
      <c r="X17" s="399" t="str">
        <f t="shared" si="2"/>
        <v>2D6+0</v>
      </c>
      <c r="Y17" s="199"/>
      <c r="Z17" s="199"/>
      <c r="AA17" s="199"/>
      <c r="AB17" s="199"/>
      <c r="AC17" s="199"/>
      <c r="AD17" s="199"/>
      <c r="AE17" s="199"/>
      <c r="AF17" s="199"/>
      <c r="AG17" s="199"/>
      <c r="AH17" s="199"/>
      <c r="AU17" s="48"/>
      <c r="AV17" s="48"/>
      <c r="AW17" s="48"/>
      <c r="AX17" s="48"/>
      <c r="AY17" s="48"/>
      <c r="AZ17" s="48"/>
      <c r="BA17" s="48"/>
      <c r="BB17" s="48"/>
      <c r="BC17" s="48"/>
      <c r="BD17" s="48"/>
    </row>
    <row r="18" spans="1:56" x14ac:dyDescent="0.25">
      <c r="A18" s="384" t="str">
        <f>hth_none&amp;" "&amp;15</f>
        <v>None 15</v>
      </c>
      <c r="B18" s="335">
        <v>3</v>
      </c>
      <c r="C18" s="335"/>
      <c r="D18" s="335"/>
      <c r="E18" s="335"/>
      <c r="F18" s="335"/>
      <c r="G18" s="335"/>
      <c r="H18" s="335"/>
      <c r="I18" s="335"/>
      <c r="J18" s="335">
        <v>20</v>
      </c>
      <c r="K18" s="335"/>
      <c r="L18" s="335"/>
      <c r="M18" s="385"/>
      <c r="N18" s="199"/>
      <c r="O18" s="403" t="s">
        <v>196</v>
      </c>
      <c r="P18" s="394">
        <v>6</v>
      </c>
      <c r="Q18" s="395" t="str">
        <f t="shared" si="4"/>
        <v>D6+0</v>
      </c>
      <c r="R18" s="421"/>
      <c r="S18" s="405">
        <v>36</v>
      </c>
      <c r="T18" s="404" t="str">
        <f t="shared" si="0"/>
        <v>6D6+0</v>
      </c>
      <c r="U18" s="422"/>
      <c r="V18" s="406" t="b">
        <v>0</v>
      </c>
      <c r="W18" s="398" t="str">
        <f t="shared" si="3"/>
        <v>6D6+0</v>
      </c>
      <c r="X18" s="423"/>
      <c r="Y18" s="199"/>
      <c r="Z18" s="199"/>
      <c r="AA18" s="199"/>
      <c r="AB18" s="199"/>
      <c r="AC18" s="199"/>
      <c r="AD18" s="199"/>
      <c r="AE18" s="199"/>
      <c r="AF18" s="199"/>
      <c r="AG18" s="424"/>
      <c r="AH18" s="199"/>
      <c r="AU18" s="48"/>
      <c r="AV18" s="48"/>
      <c r="AW18" s="48"/>
      <c r="AX18" s="48"/>
      <c r="AY18" s="48"/>
      <c r="AZ18" s="48"/>
      <c r="BA18" s="48"/>
      <c r="BB18" s="48"/>
      <c r="BC18" s="48"/>
      <c r="BD18" s="48"/>
    </row>
    <row r="19" spans="1:56" x14ac:dyDescent="0.25">
      <c r="A19" s="384" t="str">
        <f>hth_basic&amp;" "&amp;1</f>
        <v>Basic 1</v>
      </c>
      <c r="B19" s="335">
        <v>4</v>
      </c>
      <c r="C19" s="335"/>
      <c r="D19" s="335"/>
      <c r="E19" s="335"/>
      <c r="F19" s="335"/>
      <c r="G19" s="335">
        <v>2</v>
      </c>
      <c r="H19" s="335">
        <v>2</v>
      </c>
      <c r="I19" s="335"/>
      <c r="J19" s="335">
        <v>20</v>
      </c>
      <c r="K19" s="335"/>
      <c r="L19" s="335"/>
      <c r="M19" s="385"/>
      <c r="N19" s="199"/>
      <c r="O19" s="403" t="s">
        <v>216</v>
      </c>
      <c r="P19" s="394">
        <v>4</v>
      </c>
      <c r="Q19" s="395" t="str">
        <f t="shared" si="4"/>
        <v>D6+0</v>
      </c>
      <c r="R19" s="421"/>
      <c r="S19" s="405">
        <v>24</v>
      </c>
      <c r="T19" s="404" t="str">
        <f t="shared" si="0"/>
        <v>4D6+0</v>
      </c>
      <c r="U19" s="422"/>
      <c r="V19" s="406" t="b">
        <v>0</v>
      </c>
      <c r="W19" s="398" t="str">
        <f t="shared" si="3"/>
        <v>4D6+0</v>
      </c>
      <c r="X19" s="423"/>
      <c r="Y19" s="199"/>
      <c r="Z19" s="199"/>
      <c r="AA19" s="199"/>
      <c r="AB19" s="199"/>
      <c r="AC19" s="199"/>
      <c r="AD19" s="199"/>
      <c r="AE19" s="199"/>
      <c r="AF19" s="199"/>
      <c r="AG19" s="424"/>
      <c r="AH19" s="199"/>
      <c r="AU19" s="48"/>
      <c r="AV19" s="48"/>
      <c r="AW19" s="48"/>
      <c r="AX19" s="48"/>
      <c r="AY19" s="48"/>
      <c r="AZ19" s="48"/>
      <c r="BA19" s="48"/>
      <c r="BB19" s="48"/>
      <c r="BC19" s="48"/>
      <c r="BD19" s="48"/>
    </row>
    <row r="20" spans="1:56" x14ac:dyDescent="0.25">
      <c r="A20" s="384" t="str">
        <f>hth_basic&amp;" "&amp;2</f>
        <v>Basic 2</v>
      </c>
      <c r="B20" s="335">
        <v>4</v>
      </c>
      <c r="C20" s="335"/>
      <c r="D20" s="335"/>
      <c r="E20" s="335">
        <v>2</v>
      </c>
      <c r="F20" s="335">
        <v>2</v>
      </c>
      <c r="G20" s="335">
        <v>2</v>
      </c>
      <c r="H20" s="335">
        <v>2</v>
      </c>
      <c r="I20" s="335"/>
      <c r="J20" s="335">
        <v>20</v>
      </c>
      <c r="K20" s="335"/>
      <c r="L20" s="335"/>
      <c r="M20" s="385"/>
      <c r="N20" s="199"/>
      <c r="O20" s="425" t="s">
        <v>203</v>
      </c>
      <c r="P20" s="1451" t="s">
        <v>214</v>
      </c>
      <c r="Q20" s="1452"/>
      <c r="R20" s="421"/>
      <c r="S20" s="405">
        <v>0</v>
      </c>
      <c r="T20" s="404">
        <v>0</v>
      </c>
      <c r="U20" s="422"/>
      <c r="V20" s="406" t="b">
        <v>0</v>
      </c>
      <c r="W20" s="398" t="s">
        <v>694</v>
      </c>
      <c r="X20" s="423"/>
      <c r="Y20" s="199"/>
      <c r="Z20" s="199"/>
      <c r="AA20" s="199"/>
      <c r="AB20" s="199"/>
      <c r="AC20" s="199"/>
      <c r="AD20" s="199"/>
      <c r="AE20" s="199"/>
      <c r="AF20" s="199"/>
      <c r="AG20" s="199"/>
      <c r="AH20" s="199"/>
      <c r="AU20" s="48"/>
      <c r="AV20" s="48"/>
      <c r="AW20" s="48"/>
      <c r="AX20" s="48"/>
      <c r="AY20" s="48"/>
      <c r="AZ20" s="48"/>
      <c r="BA20" s="48"/>
      <c r="BB20" s="48"/>
      <c r="BC20" s="48"/>
      <c r="BD20" s="48"/>
    </row>
    <row r="21" spans="1:56" ht="15.75" thickBot="1" x14ac:dyDescent="0.3">
      <c r="A21" s="384" t="str">
        <f>hth_basic&amp;" "&amp;3</f>
        <v>Basic 3</v>
      </c>
      <c r="B21" s="335">
        <v>4</v>
      </c>
      <c r="C21" s="335"/>
      <c r="D21" s="335"/>
      <c r="E21" s="335">
        <v>2</v>
      </c>
      <c r="F21" s="335">
        <v>2</v>
      </c>
      <c r="G21" s="335">
        <v>2</v>
      </c>
      <c r="H21" s="335">
        <v>2</v>
      </c>
      <c r="I21" s="335"/>
      <c r="J21" s="335">
        <v>20</v>
      </c>
      <c r="K21" s="335"/>
      <c r="L21" s="335"/>
      <c r="M21" s="385"/>
      <c r="N21" s="199"/>
      <c r="O21" s="426" t="s">
        <v>213</v>
      </c>
      <c r="P21" s="1453" t="s">
        <v>214</v>
      </c>
      <c r="Q21" s="1454"/>
      <c r="R21" s="427"/>
      <c r="S21" s="412">
        <v>0</v>
      </c>
      <c r="T21" s="411">
        <v>0</v>
      </c>
      <c r="U21" s="428"/>
      <c r="V21" s="413" t="b">
        <v>0</v>
      </c>
      <c r="W21" s="398" t="s">
        <v>694</v>
      </c>
      <c r="X21" s="429"/>
      <c r="Y21" s="199"/>
      <c r="Z21" s="199"/>
      <c r="AA21" s="199"/>
      <c r="AB21" s="199"/>
      <c r="AC21" s="199"/>
      <c r="AD21" s="199"/>
      <c r="AE21" s="199"/>
      <c r="AF21" s="199"/>
      <c r="AG21" s="199"/>
      <c r="AH21" s="199"/>
      <c r="AI21" s="48"/>
      <c r="AJ21" s="48"/>
      <c r="AK21" s="48"/>
      <c r="AL21" s="48"/>
      <c r="AM21" s="48"/>
      <c r="AN21" s="48"/>
      <c r="AO21" s="48"/>
      <c r="AP21" s="48"/>
      <c r="AQ21" s="48"/>
      <c r="AR21" s="48"/>
      <c r="AS21" s="48"/>
      <c r="AT21" s="48"/>
      <c r="AU21" s="48"/>
      <c r="AV21" s="48"/>
      <c r="AW21" s="48"/>
      <c r="AX21" s="48"/>
      <c r="AY21" s="48"/>
      <c r="AZ21" s="48"/>
      <c r="BA21" s="48"/>
      <c r="BB21" s="48"/>
      <c r="BC21" s="48"/>
      <c r="BD21" s="48"/>
    </row>
    <row r="22" spans="1:56" ht="15.75" thickBot="1" x14ac:dyDescent="0.3">
      <c r="A22" s="384" t="str">
        <f>hth_basic&amp;" "&amp;4</f>
        <v>Basic 4</v>
      </c>
      <c r="B22" s="335">
        <v>5</v>
      </c>
      <c r="C22" s="335"/>
      <c r="D22" s="335"/>
      <c r="E22" s="335">
        <v>2</v>
      </c>
      <c r="F22" s="335">
        <v>2</v>
      </c>
      <c r="G22" s="335">
        <v>2</v>
      </c>
      <c r="H22" s="335">
        <v>2</v>
      </c>
      <c r="I22" s="335"/>
      <c r="J22" s="335">
        <v>20</v>
      </c>
      <c r="K22" s="335"/>
      <c r="L22" s="335"/>
      <c r="M22" s="385"/>
      <c r="N22" s="199"/>
      <c r="O22" s="430" t="s">
        <v>242</v>
      </c>
      <c r="P22" s="431">
        <v>1</v>
      </c>
      <c r="Q22" s="432" t="str">
        <f>"D4+"&amp;total_damage</f>
        <v>D4+0</v>
      </c>
      <c r="R22" s="433"/>
      <c r="S22" s="434">
        <v>4</v>
      </c>
      <c r="T22" s="434" t="str">
        <f>IF(VLOOKUP(total_ps, sn_ps_punch, 5, TRUE)&gt;S22, $AA$5, P22&amp;Q22)</f>
        <v>1D6+0</v>
      </c>
      <c r="U22" s="435"/>
      <c r="V22" s="414" t="b">
        <v>0</v>
      </c>
      <c r="W22" s="398" t="str">
        <f t="shared" si="3"/>
        <v>1D4+0</v>
      </c>
      <c r="X22" s="436"/>
      <c r="Y22" s="199"/>
      <c r="Z22" s="199"/>
      <c r="AA22" s="199"/>
      <c r="AB22" s="199"/>
      <c r="AC22" s="199"/>
      <c r="AD22" s="199"/>
      <c r="AE22" s="199"/>
      <c r="AF22" s="199"/>
      <c r="AG22" s="199"/>
      <c r="AH22" s="199"/>
      <c r="AI22" s="48"/>
      <c r="AJ22" s="48"/>
      <c r="AK22" s="48"/>
      <c r="AL22" s="48"/>
      <c r="AM22" s="48"/>
      <c r="AN22" s="48"/>
      <c r="AO22" s="48"/>
      <c r="AP22" s="48"/>
      <c r="AQ22" s="48"/>
      <c r="AR22" s="48"/>
      <c r="AS22" s="48"/>
      <c r="AT22" s="48"/>
      <c r="AU22" s="48"/>
      <c r="AV22" s="48"/>
      <c r="AW22" s="48"/>
      <c r="AX22" s="48"/>
      <c r="AY22" s="48"/>
      <c r="AZ22" s="48"/>
      <c r="BA22" s="48"/>
      <c r="BB22" s="48"/>
      <c r="BC22" s="48"/>
      <c r="BD22" s="48"/>
    </row>
    <row r="23" spans="1:56" x14ac:dyDescent="0.25">
      <c r="A23" s="384" t="str">
        <f>hth_basic&amp;" "&amp;5</f>
        <v>Basic 5</v>
      </c>
      <c r="B23" s="335">
        <v>5</v>
      </c>
      <c r="C23" s="335"/>
      <c r="D23" s="335">
        <v>1</v>
      </c>
      <c r="E23" s="335">
        <v>2</v>
      </c>
      <c r="F23" s="335">
        <v>2</v>
      </c>
      <c r="G23" s="335">
        <v>2</v>
      </c>
      <c r="H23" s="335">
        <v>2</v>
      </c>
      <c r="I23" s="335"/>
      <c r="J23" s="335">
        <v>20</v>
      </c>
      <c r="K23" s="335"/>
      <c r="L23" s="335"/>
      <c r="M23" s="385"/>
      <c r="N23" s="199"/>
      <c r="O23" s="199"/>
      <c r="P23" s="199"/>
      <c r="Q23" s="199"/>
      <c r="R23" s="199"/>
      <c r="S23" s="199"/>
      <c r="T23" s="199"/>
      <c r="U23" s="199"/>
      <c r="V23" s="199"/>
      <c r="W23" s="199"/>
      <c r="X23" s="199"/>
      <c r="Y23" s="199"/>
      <c r="Z23" s="199"/>
      <c r="AA23" s="199"/>
      <c r="AB23" s="199"/>
      <c r="AC23" s="199"/>
      <c r="AD23" s="199"/>
      <c r="AE23" s="199"/>
      <c r="AF23" s="199"/>
      <c r="AG23" s="199"/>
      <c r="AH23" s="199"/>
      <c r="AI23" s="48"/>
      <c r="AJ23" s="48"/>
      <c r="AK23" s="48"/>
      <c r="AL23" s="48"/>
      <c r="AM23" s="48"/>
      <c r="AN23" s="48"/>
      <c r="AO23" s="48"/>
      <c r="AP23" s="48"/>
      <c r="AQ23" s="48"/>
      <c r="AR23" s="48"/>
      <c r="AS23" s="48"/>
      <c r="AT23" s="48"/>
      <c r="AU23" s="48"/>
      <c r="AV23" s="48"/>
      <c r="AW23" s="48"/>
      <c r="AX23" s="48"/>
      <c r="AY23" s="48"/>
      <c r="AZ23" s="48"/>
      <c r="BA23" s="48"/>
      <c r="BB23" s="48"/>
      <c r="BC23" s="48"/>
      <c r="BD23" s="48"/>
    </row>
    <row r="24" spans="1:56" x14ac:dyDescent="0.25">
      <c r="A24" s="384" t="str">
        <f>hth_basic&amp;" "&amp;6</f>
        <v>Basic 6</v>
      </c>
      <c r="B24" s="335">
        <v>5</v>
      </c>
      <c r="C24" s="335"/>
      <c r="D24" s="335">
        <v>1</v>
      </c>
      <c r="E24" s="335">
        <v>2</v>
      </c>
      <c r="F24" s="335">
        <v>2</v>
      </c>
      <c r="G24" s="335">
        <v>2</v>
      </c>
      <c r="H24" s="335">
        <v>2</v>
      </c>
      <c r="I24" s="335"/>
      <c r="J24" s="385" t="s">
        <v>275</v>
      </c>
      <c r="K24" s="335"/>
      <c r="L24" s="335"/>
      <c r="M24" s="385"/>
      <c r="N24" s="199"/>
      <c r="O24" s="199"/>
      <c r="P24" s="199"/>
      <c r="Q24" s="199"/>
      <c r="R24" s="199"/>
      <c r="S24" s="199"/>
      <c r="T24" s="199"/>
      <c r="U24" s="199"/>
      <c r="V24" s="199"/>
      <c r="W24" s="199"/>
      <c r="X24" s="199"/>
      <c r="Y24" s="199"/>
      <c r="Z24" s="199"/>
      <c r="AA24" s="199"/>
      <c r="AB24" s="199"/>
      <c r="AC24" s="199"/>
      <c r="AD24" s="199"/>
      <c r="AE24" s="199"/>
      <c r="AF24" s="199"/>
      <c r="AG24" s="199"/>
      <c r="AH24" s="199"/>
      <c r="AI24" s="48"/>
      <c r="AJ24" s="48"/>
      <c r="AK24" s="48"/>
      <c r="AL24" s="48"/>
      <c r="AM24" s="48"/>
      <c r="AN24" s="48"/>
      <c r="AO24" s="48"/>
      <c r="AP24" s="48"/>
      <c r="AQ24" s="48"/>
      <c r="AR24" s="48"/>
      <c r="AS24" s="48"/>
      <c r="AT24" s="48"/>
      <c r="AU24" s="48"/>
      <c r="AV24" s="48"/>
      <c r="AW24" s="48"/>
      <c r="AX24" s="48"/>
      <c r="AY24" s="48"/>
      <c r="AZ24" s="48"/>
      <c r="BA24" s="48"/>
      <c r="BB24" s="48"/>
      <c r="BC24" s="48"/>
      <c r="BD24" s="48"/>
    </row>
    <row r="25" spans="1:56" x14ac:dyDescent="0.25">
      <c r="A25" s="384" t="str">
        <f>hth_basic&amp;" "&amp;7</f>
        <v>Basic 7</v>
      </c>
      <c r="B25" s="335">
        <v>5</v>
      </c>
      <c r="C25" s="335"/>
      <c r="D25" s="335">
        <v>1</v>
      </c>
      <c r="E25" s="335">
        <v>2</v>
      </c>
      <c r="F25" s="335">
        <v>2</v>
      </c>
      <c r="G25" s="335">
        <v>2</v>
      </c>
      <c r="H25" s="335">
        <v>2</v>
      </c>
      <c r="I25" s="335">
        <v>2</v>
      </c>
      <c r="J25" s="385" t="s">
        <v>275</v>
      </c>
      <c r="K25" s="335"/>
      <c r="L25" s="335"/>
      <c r="M25" s="385"/>
      <c r="N25" s="199"/>
      <c r="O25" s="199"/>
      <c r="P25" s="199"/>
      <c r="Q25" s="199"/>
      <c r="R25" s="199"/>
      <c r="S25" s="199"/>
      <c r="T25" s="199"/>
      <c r="U25" s="199"/>
      <c r="V25" s="199"/>
      <c r="W25" s="199"/>
      <c r="X25" s="199"/>
      <c r="Y25" s="199"/>
      <c r="Z25" s="199"/>
      <c r="AA25" s="199"/>
      <c r="AB25" s="199"/>
      <c r="AC25" s="199"/>
      <c r="AD25" s="199"/>
      <c r="AE25" s="199"/>
      <c r="AF25" s="199"/>
      <c r="AG25" s="199"/>
      <c r="AH25" s="199"/>
      <c r="AX25" s="48"/>
      <c r="AY25" s="48"/>
      <c r="AZ25" s="48"/>
      <c r="BA25" s="48"/>
      <c r="BB25" s="48"/>
      <c r="BC25" s="48"/>
      <c r="BD25" s="48"/>
    </row>
    <row r="26" spans="1:56" x14ac:dyDescent="0.25">
      <c r="A26" s="384" t="str">
        <f>hth_basic&amp;" "&amp;8</f>
        <v>Basic 8</v>
      </c>
      <c r="B26" s="335">
        <v>5</v>
      </c>
      <c r="C26" s="335"/>
      <c r="D26" s="335">
        <v>1</v>
      </c>
      <c r="E26" s="335">
        <v>2</v>
      </c>
      <c r="F26" s="335">
        <v>2</v>
      </c>
      <c r="G26" s="335">
        <v>2</v>
      </c>
      <c r="H26" s="335">
        <v>2</v>
      </c>
      <c r="I26" s="335">
        <v>2</v>
      </c>
      <c r="J26" s="385" t="s">
        <v>275</v>
      </c>
      <c r="K26" s="335"/>
      <c r="L26" s="335"/>
      <c r="M26" s="385"/>
      <c r="N26" s="199"/>
      <c r="O26" s="199"/>
      <c r="P26" s="199"/>
      <c r="Q26" s="199"/>
      <c r="R26" s="199"/>
      <c r="S26" s="199"/>
      <c r="T26" s="199"/>
      <c r="U26" s="199"/>
      <c r="V26" s="199"/>
      <c r="W26" s="199"/>
      <c r="X26" s="199"/>
      <c r="Y26" s="199"/>
      <c r="Z26" s="199"/>
      <c r="AA26" s="199"/>
      <c r="AB26" s="199"/>
      <c r="AC26" s="199"/>
      <c r="AD26" s="199"/>
      <c r="AE26" s="199"/>
      <c r="AF26" s="199"/>
      <c r="AG26" s="199"/>
      <c r="AH26" s="199"/>
      <c r="AX26" s="48"/>
      <c r="AY26" s="48"/>
      <c r="AZ26" s="48"/>
      <c r="BA26" s="48"/>
      <c r="BB26" s="48"/>
      <c r="BC26" s="48"/>
      <c r="BD26" s="48"/>
    </row>
    <row r="27" spans="1:56" x14ac:dyDescent="0.25">
      <c r="A27" s="384" t="str">
        <f>hth_basic&amp;" "&amp;9</f>
        <v>Basic 9</v>
      </c>
      <c r="B27" s="335">
        <v>6</v>
      </c>
      <c r="C27" s="335"/>
      <c r="D27" s="335">
        <v>1</v>
      </c>
      <c r="E27" s="335">
        <v>2</v>
      </c>
      <c r="F27" s="335">
        <v>2</v>
      </c>
      <c r="G27" s="335">
        <v>2</v>
      </c>
      <c r="H27" s="335">
        <v>2</v>
      </c>
      <c r="I27" s="335">
        <v>2</v>
      </c>
      <c r="J27" s="385" t="s">
        <v>275</v>
      </c>
      <c r="K27" s="335"/>
      <c r="L27" s="335"/>
      <c r="M27" s="385"/>
      <c r="N27" s="199"/>
      <c r="O27" s="298" t="s">
        <v>86</v>
      </c>
      <c r="P27" s="298" t="s">
        <v>87</v>
      </c>
      <c r="Q27" s="298" t="s">
        <v>73</v>
      </c>
      <c r="R27" s="298" t="s">
        <v>276</v>
      </c>
      <c r="S27" s="199"/>
      <c r="T27" s="199"/>
      <c r="U27" s="199"/>
      <c r="V27" s="199"/>
      <c r="W27" s="199"/>
      <c r="X27" s="1445" t="s">
        <v>306</v>
      </c>
      <c r="Y27" s="1445"/>
      <c r="Z27" s="1445"/>
      <c r="AA27" s="251" t="s">
        <v>231</v>
      </c>
      <c r="AB27" s="199"/>
      <c r="AC27" s="199"/>
      <c r="AD27" s="199"/>
      <c r="AE27" s="199"/>
      <c r="AF27" s="199"/>
      <c r="AG27" s="199"/>
      <c r="AH27" s="199"/>
      <c r="AX27" s="48"/>
      <c r="AY27" s="48"/>
      <c r="AZ27" s="48"/>
      <c r="BA27" s="48"/>
      <c r="BB27" s="48"/>
      <c r="BC27" s="48"/>
      <c r="BD27" s="48"/>
    </row>
    <row r="28" spans="1:56" x14ac:dyDescent="0.25">
      <c r="A28" s="384" t="str">
        <f>hth_basic&amp;" "&amp;10</f>
        <v>Basic 10</v>
      </c>
      <c r="B28" s="335">
        <v>6</v>
      </c>
      <c r="C28" s="335"/>
      <c r="D28" s="335">
        <v>1</v>
      </c>
      <c r="E28" s="335">
        <v>2</v>
      </c>
      <c r="F28" s="335">
        <v>2</v>
      </c>
      <c r="G28" s="335">
        <v>4</v>
      </c>
      <c r="H28" s="335">
        <v>4</v>
      </c>
      <c r="I28" s="335">
        <v>2</v>
      </c>
      <c r="J28" s="385" t="s">
        <v>275</v>
      </c>
      <c r="K28" s="335"/>
      <c r="L28" s="335"/>
      <c r="M28" s="385"/>
      <c r="N28" s="199"/>
      <c r="O28" s="437" t="s">
        <v>214</v>
      </c>
      <c r="P28" s="335"/>
      <c r="Q28" s="335"/>
      <c r="R28" s="335"/>
      <c r="S28" s="199"/>
      <c r="T28" s="199"/>
      <c r="U28" s="199"/>
      <c r="V28" s="199"/>
      <c r="W28" s="199"/>
      <c r="X28" s="438">
        <v>0</v>
      </c>
      <c r="Y28" s="439"/>
      <c r="Z28" s="439"/>
      <c r="AA28" s="335">
        <v>0</v>
      </c>
      <c r="AB28" s="199"/>
      <c r="AC28" s="199"/>
      <c r="AD28" s="199"/>
      <c r="AE28" s="199"/>
      <c r="AF28" s="199"/>
      <c r="AG28" s="199"/>
      <c r="AH28" s="199"/>
      <c r="AX28" s="48"/>
      <c r="AY28" s="48"/>
      <c r="AZ28" s="48"/>
      <c r="BA28" s="48"/>
      <c r="BB28" s="48"/>
      <c r="BC28" s="48"/>
      <c r="BD28" s="48"/>
    </row>
    <row r="29" spans="1:56" x14ac:dyDescent="0.25">
      <c r="A29" s="384" t="str">
        <f>hth_basic&amp;" "&amp;11</f>
        <v>Basic 11</v>
      </c>
      <c r="B29" s="335">
        <v>6</v>
      </c>
      <c r="C29" s="335"/>
      <c r="D29" s="335">
        <v>1</v>
      </c>
      <c r="E29" s="335">
        <v>3</v>
      </c>
      <c r="F29" s="335">
        <v>3</v>
      </c>
      <c r="G29" s="335">
        <v>4</v>
      </c>
      <c r="H29" s="335">
        <v>4</v>
      </c>
      <c r="I29" s="335">
        <v>2</v>
      </c>
      <c r="J29" s="385" t="s">
        <v>275</v>
      </c>
      <c r="K29" s="335"/>
      <c r="L29" s="335"/>
      <c r="M29" s="385"/>
      <c r="N29" s="199"/>
      <c r="O29" s="437" t="s">
        <v>277</v>
      </c>
      <c r="P29" s="335">
        <v>5</v>
      </c>
      <c r="Q29" s="335">
        <v>6</v>
      </c>
      <c r="R29" s="335"/>
      <c r="S29" s="199"/>
      <c r="T29" s="199"/>
      <c r="U29" s="199"/>
      <c r="V29" s="199"/>
      <c r="W29" s="199"/>
      <c r="X29" s="332" t="s">
        <v>307</v>
      </c>
      <c r="Y29" s="332" t="str">
        <f>plus&amp;1</f>
        <v>+1</v>
      </c>
      <c r="Z29" s="332">
        <v>1</v>
      </c>
      <c r="AA29" s="335">
        <v>4</v>
      </c>
      <c r="AB29" s="199"/>
      <c r="AC29" s="199"/>
      <c r="AD29" s="199"/>
      <c r="AE29" s="199"/>
      <c r="AF29" s="199"/>
      <c r="AG29" s="199"/>
      <c r="AH29" s="199"/>
      <c r="AX29" s="48"/>
      <c r="AY29" s="48"/>
      <c r="AZ29" s="48"/>
      <c r="BA29" s="48"/>
      <c r="BB29" s="48"/>
      <c r="BC29" s="48"/>
      <c r="BD29" s="48"/>
    </row>
    <row r="30" spans="1:56" x14ac:dyDescent="0.25">
      <c r="A30" s="384" t="str">
        <f>hth_basic&amp;" "&amp;12</f>
        <v>Basic 12</v>
      </c>
      <c r="B30" s="335">
        <v>6</v>
      </c>
      <c r="C30" s="335"/>
      <c r="D30" s="335">
        <v>2</v>
      </c>
      <c r="E30" s="335">
        <v>3</v>
      </c>
      <c r="F30" s="335">
        <v>3</v>
      </c>
      <c r="G30" s="335">
        <v>4</v>
      </c>
      <c r="H30" s="335">
        <v>4</v>
      </c>
      <c r="I30" s="335">
        <v>2</v>
      </c>
      <c r="J30" s="385" t="s">
        <v>275</v>
      </c>
      <c r="K30" s="335"/>
      <c r="L30" s="335"/>
      <c r="M30" s="385"/>
      <c r="N30" s="199"/>
      <c r="O30" s="437" t="s">
        <v>278</v>
      </c>
      <c r="P30" s="335">
        <v>8</v>
      </c>
      <c r="Q30" s="335">
        <v>15</v>
      </c>
      <c r="R30" s="335"/>
      <c r="S30" s="199"/>
      <c r="T30" s="199"/>
      <c r="U30" s="199"/>
      <c r="V30" s="199"/>
      <c r="W30" s="199"/>
      <c r="X30" s="332" t="s">
        <v>267</v>
      </c>
      <c r="Y30" s="332" t="str">
        <f>plus&amp;2</f>
        <v>+2</v>
      </c>
      <c r="Z30" s="332">
        <v>2</v>
      </c>
      <c r="AA30" s="335">
        <v>6</v>
      </c>
      <c r="AB30" s="199"/>
      <c r="AC30" s="199"/>
      <c r="AD30" s="199"/>
      <c r="AE30" s="199"/>
      <c r="AF30" s="199"/>
      <c r="AG30" s="199"/>
      <c r="AH30" s="199"/>
      <c r="AX30" s="48"/>
      <c r="AY30" s="48"/>
      <c r="AZ30" s="48"/>
      <c r="BA30" s="48"/>
      <c r="BB30" s="48"/>
      <c r="BC30" s="48"/>
      <c r="BD30" s="48"/>
    </row>
    <row r="31" spans="1:56" x14ac:dyDescent="0.25">
      <c r="A31" s="384" t="str">
        <f>hth_basic&amp;" "&amp;13</f>
        <v>Basic 13</v>
      </c>
      <c r="B31" s="335">
        <v>6</v>
      </c>
      <c r="C31" s="335"/>
      <c r="D31" s="335">
        <v>2</v>
      </c>
      <c r="E31" s="335">
        <v>3</v>
      </c>
      <c r="F31" s="335">
        <v>3</v>
      </c>
      <c r="G31" s="335">
        <v>4</v>
      </c>
      <c r="H31" s="335">
        <v>4</v>
      </c>
      <c r="I31" s="335">
        <v>2</v>
      </c>
      <c r="J31" s="385" t="s">
        <v>275</v>
      </c>
      <c r="K31" s="335"/>
      <c r="L31" s="335"/>
      <c r="M31" s="385"/>
      <c r="N31" s="199"/>
      <c r="O31" s="437" t="s">
        <v>279</v>
      </c>
      <c r="P31" s="335">
        <v>10</v>
      </c>
      <c r="Q31" s="335">
        <v>20</v>
      </c>
      <c r="R31" s="335"/>
      <c r="S31" s="199"/>
      <c r="T31" s="199"/>
      <c r="U31" s="199"/>
      <c r="V31" s="199"/>
      <c r="W31" s="199"/>
      <c r="X31" s="332" t="s">
        <v>308</v>
      </c>
      <c r="Y31" s="332" t="str">
        <f>plus&amp;3</f>
        <v>+3</v>
      </c>
      <c r="Z31" s="332">
        <v>3</v>
      </c>
      <c r="AA31" s="335">
        <v>8</v>
      </c>
      <c r="AB31" s="199"/>
      <c r="AC31" s="199"/>
      <c r="AD31" s="199"/>
      <c r="AE31" s="199"/>
      <c r="AF31" s="199"/>
      <c r="AG31" s="199"/>
      <c r="AH31" s="199"/>
      <c r="AX31" s="48"/>
      <c r="AY31" s="48"/>
      <c r="AZ31" s="48"/>
      <c r="BA31" s="48"/>
      <c r="BB31" s="48"/>
      <c r="BC31" s="48"/>
      <c r="BD31" s="48"/>
    </row>
    <row r="32" spans="1:56" x14ac:dyDescent="0.25">
      <c r="A32" s="384" t="str">
        <f>hth_basic&amp;" "&amp;14</f>
        <v>Basic 14</v>
      </c>
      <c r="B32" s="335">
        <v>6</v>
      </c>
      <c r="C32" s="335"/>
      <c r="D32" s="335">
        <v>2</v>
      </c>
      <c r="E32" s="335">
        <v>3</v>
      </c>
      <c r="F32" s="335">
        <v>3</v>
      </c>
      <c r="G32" s="335">
        <v>4</v>
      </c>
      <c r="H32" s="335">
        <v>4</v>
      </c>
      <c r="I32" s="335">
        <v>4</v>
      </c>
      <c r="J32" s="385" t="s">
        <v>275</v>
      </c>
      <c r="K32" s="335"/>
      <c r="L32" s="335"/>
      <c r="M32" s="385"/>
      <c r="N32" s="199"/>
      <c r="O32" s="437" t="s">
        <v>280</v>
      </c>
      <c r="P32" s="335">
        <v>11</v>
      </c>
      <c r="Q32" s="335">
        <v>30</v>
      </c>
      <c r="R32" s="335"/>
      <c r="S32" s="199"/>
      <c r="T32" s="199"/>
      <c r="U32" s="199"/>
      <c r="V32" s="199"/>
      <c r="W32" s="199"/>
      <c r="X32" s="332" t="s">
        <v>309</v>
      </c>
      <c r="Y32" s="332" t="str">
        <f>plus&amp;4</f>
        <v>+4</v>
      </c>
      <c r="Z32" s="332">
        <v>4</v>
      </c>
      <c r="AA32" s="335">
        <v>10</v>
      </c>
      <c r="AB32" s="199"/>
      <c r="AC32" s="199"/>
      <c r="AD32" s="199"/>
      <c r="AE32" s="199"/>
      <c r="AF32" s="199"/>
      <c r="AG32" s="199"/>
      <c r="AH32" s="199"/>
      <c r="AX32" s="48"/>
      <c r="AY32" s="48"/>
      <c r="AZ32" s="48"/>
      <c r="BA32" s="48"/>
      <c r="BB32" s="48"/>
      <c r="BC32" s="48"/>
      <c r="BD32" s="48"/>
    </row>
    <row r="33" spans="1:56" x14ac:dyDescent="0.25">
      <c r="A33" s="384" t="str">
        <f>hth_basic&amp;" "&amp;15</f>
        <v>Basic 15</v>
      </c>
      <c r="B33" s="335">
        <v>7</v>
      </c>
      <c r="C33" s="335"/>
      <c r="D33" s="335">
        <v>2</v>
      </c>
      <c r="E33" s="335">
        <v>3</v>
      </c>
      <c r="F33" s="335">
        <v>3</v>
      </c>
      <c r="G33" s="335">
        <v>4</v>
      </c>
      <c r="H33" s="335">
        <v>4</v>
      </c>
      <c r="I33" s="335">
        <v>4</v>
      </c>
      <c r="J33" s="385" t="s">
        <v>275</v>
      </c>
      <c r="K33" s="335"/>
      <c r="L33" s="335"/>
      <c r="M33" s="385"/>
      <c r="N33" s="199"/>
      <c r="O33" s="437" t="s">
        <v>281</v>
      </c>
      <c r="P33" s="335">
        <v>13</v>
      </c>
      <c r="Q33" s="335">
        <v>38</v>
      </c>
      <c r="R33" s="440" t="s">
        <v>282</v>
      </c>
      <c r="S33" s="199"/>
      <c r="T33" s="199"/>
      <c r="U33" s="199"/>
      <c r="V33" s="199"/>
      <c r="W33" s="199"/>
      <c r="X33" s="332" t="s">
        <v>310</v>
      </c>
      <c r="Y33" s="332" t="str">
        <f>plus&amp;5</f>
        <v>+5</v>
      </c>
      <c r="Z33" s="332">
        <v>5</v>
      </c>
      <c r="AA33" s="335">
        <v>12</v>
      </c>
      <c r="AB33" s="199"/>
      <c r="AC33" s="199"/>
      <c r="AD33" s="199"/>
      <c r="AE33" s="199"/>
      <c r="AF33" s="199"/>
      <c r="AG33" s="199"/>
      <c r="AH33" s="199"/>
      <c r="AX33" s="48"/>
      <c r="AY33" s="48"/>
      <c r="AZ33" s="48"/>
      <c r="BA33" s="48"/>
      <c r="BB33" s="48"/>
      <c r="BC33" s="48"/>
      <c r="BD33" s="48"/>
    </row>
    <row r="34" spans="1:56" x14ac:dyDescent="0.25">
      <c r="A34" s="437" t="str">
        <f>hth_expert&amp;" "&amp;1</f>
        <v>Expert 1</v>
      </c>
      <c r="B34" s="335">
        <v>4</v>
      </c>
      <c r="C34" s="335"/>
      <c r="D34" s="441"/>
      <c r="E34" s="335"/>
      <c r="F34" s="335"/>
      <c r="G34" s="335">
        <v>2</v>
      </c>
      <c r="H34" s="335">
        <v>2</v>
      </c>
      <c r="I34" s="335"/>
      <c r="J34" s="335">
        <v>20</v>
      </c>
      <c r="K34" s="335"/>
      <c r="L34" s="335"/>
      <c r="M34" s="385"/>
      <c r="N34" s="199"/>
      <c r="O34" s="437" t="s">
        <v>283</v>
      </c>
      <c r="P34" s="335">
        <v>14</v>
      </c>
      <c r="Q34" s="335">
        <v>44</v>
      </c>
      <c r="R34" s="440" t="s">
        <v>284</v>
      </c>
      <c r="S34" s="199"/>
      <c r="T34" s="199"/>
      <c r="U34" s="199"/>
      <c r="V34" s="199"/>
      <c r="W34" s="199"/>
      <c r="X34" s="332" t="s">
        <v>311</v>
      </c>
      <c r="Y34" s="332" t="str">
        <f>plus&amp;6</f>
        <v>+6</v>
      </c>
      <c r="Z34" s="332">
        <v>6</v>
      </c>
      <c r="AA34" s="335">
        <v>40</v>
      </c>
      <c r="AB34" s="199"/>
      <c r="AC34" s="199"/>
      <c r="AD34" s="199"/>
      <c r="AE34" s="199"/>
      <c r="AF34" s="199"/>
      <c r="AG34" s="199"/>
      <c r="AH34" s="199"/>
      <c r="AX34" s="48"/>
      <c r="AY34" s="48"/>
      <c r="AZ34" s="48"/>
      <c r="BA34" s="48"/>
      <c r="BB34" s="48"/>
      <c r="BC34" s="48"/>
      <c r="BD34" s="48"/>
    </row>
    <row r="35" spans="1:56" x14ac:dyDescent="0.25">
      <c r="A35" s="437" t="str">
        <f>hth_expert&amp;" "&amp;2</f>
        <v>Expert 2</v>
      </c>
      <c r="B35" s="335">
        <v>4</v>
      </c>
      <c r="C35" s="335"/>
      <c r="D35" s="335"/>
      <c r="E35" s="335">
        <v>3</v>
      </c>
      <c r="F35" s="335">
        <v>3</v>
      </c>
      <c r="G35" s="335">
        <v>2</v>
      </c>
      <c r="H35" s="335">
        <v>2</v>
      </c>
      <c r="I35" s="335"/>
      <c r="J35" s="335">
        <v>20</v>
      </c>
      <c r="K35" s="335"/>
      <c r="L35" s="335"/>
      <c r="M35" s="385"/>
      <c r="N35" s="199"/>
      <c r="O35" s="437" t="s">
        <v>285</v>
      </c>
      <c r="P35" s="335">
        <v>9</v>
      </c>
      <c r="Q35" s="335">
        <v>20</v>
      </c>
      <c r="R35" s="440" t="s">
        <v>284</v>
      </c>
      <c r="S35" s="199"/>
      <c r="T35" s="199"/>
      <c r="U35" s="199"/>
      <c r="V35" s="199"/>
      <c r="W35" s="199"/>
      <c r="X35" s="332" t="s">
        <v>268</v>
      </c>
      <c r="Y35" s="332" t="str">
        <f>plus&amp;7</f>
        <v>+7</v>
      </c>
      <c r="Z35" s="332">
        <v>7</v>
      </c>
      <c r="AA35" s="335">
        <v>60</v>
      </c>
      <c r="AB35" s="199"/>
      <c r="AC35" s="199"/>
      <c r="AD35" s="199"/>
      <c r="AE35" s="199"/>
      <c r="AF35" s="199"/>
      <c r="AG35" s="199"/>
      <c r="AH35" s="199"/>
      <c r="AX35" s="48"/>
      <c r="AY35" s="48"/>
      <c r="AZ35" s="48"/>
      <c r="BA35" s="48"/>
      <c r="BB35" s="48"/>
      <c r="BC35" s="48"/>
      <c r="BD35" s="48"/>
    </row>
    <row r="36" spans="1:56" x14ac:dyDescent="0.25">
      <c r="A36" s="437" t="str">
        <f>hth_expert&amp;" "&amp;3</f>
        <v>Expert 3</v>
      </c>
      <c r="B36" s="335">
        <v>4</v>
      </c>
      <c r="C36" s="335"/>
      <c r="D36" s="335">
        <v>2</v>
      </c>
      <c r="E36" s="335">
        <v>3</v>
      </c>
      <c r="F36" s="335">
        <v>3</v>
      </c>
      <c r="G36" s="335">
        <v>2</v>
      </c>
      <c r="H36" s="335">
        <v>2</v>
      </c>
      <c r="I36" s="335"/>
      <c r="J36" s="335">
        <v>20</v>
      </c>
      <c r="K36" s="335"/>
      <c r="L36" s="335"/>
      <c r="M36" s="385"/>
      <c r="N36" s="199"/>
      <c r="O36" s="437" t="s">
        <v>286</v>
      </c>
      <c r="P36" s="335">
        <v>15</v>
      </c>
      <c r="Q36" s="335">
        <v>55</v>
      </c>
      <c r="R36" s="440" t="s">
        <v>284</v>
      </c>
      <c r="S36" s="199"/>
      <c r="T36" s="199"/>
      <c r="U36" s="199"/>
      <c r="V36" s="199"/>
      <c r="W36" s="199"/>
      <c r="X36" s="332"/>
      <c r="Y36" s="332" t="str">
        <f>plus&amp;8</f>
        <v>+8</v>
      </c>
      <c r="Z36" s="332">
        <v>8</v>
      </c>
      <c r="AA36" s="335"/>
      <c r="AB36" s="199"/>
      <c r="AC36" s="199"/>
      <c r="AD36" s="199"/>
      <c r="AE36" s="199"/>
      <c r="AF36" s="199"/>
      <c r="AG36" s="199"/>
      <c r="AH36" s="199"/>
      <c r="AX36" s="48"/>
      <c r="AY36" s="48"/>
      <c r="AZ36" s="48"/>
      <c r="BA36" s="48"/>
      <c r="BB36" s="48"/>
      <c r="BC36" s="48"/>
      <c r="BD36" s="48"/>
    </row>
    <row r="37" spans="1:56" x14ac:dyDescent="0.25">
      <c r="A37" s="437" t="str">
        <f>hth_expert&amp;" "&amp;4</f>
        <v>Expert 4</v>
      </c>
      <c r="B37" s="335">
        <v>5</v>
      </c>
      <c r="C37" s="335"/>
      <c r="D37" s="335">
        <v>2</v>
      </c>
      <c r="E37" s="335">
        <v>3</v>
      </c>
      <c r="F37" s="335">
        <v>3</v>
      </c>
      <c r="G37" s="335">
        <v>2</v>
      </c>
      <c r="H37" s="335">
        <v>2</v>
      </c>
      <c r="I37" s="335"/>
      <c r="J37" s="335">
        <v>20</v>
      </c>
      <c r="K37" s="335"/>
      <c r="L37" s="335"/>
      <c r="M37" s="385"/>
      <c r="N37" s="199"/>
      <c r="O37" s="437" t="s">
        <v>287</v>
      </c>
      <c r="P37" s="335">
        <v>10</v>
      </c>
      <c r="Q37" s="335">
        <v>28</v>
      </c>
      <c r="R37" s="440" t="s">
        <v>284</v>
      </c>
      <c r="S37" s="199"/>
      <c r="T37" s="199"/>
      <c r="U37" s="199"/>
      <c r="V37" s="199"/>
      <c r="W37" s="199"/>
      <c r="X37" s="332"/>
      <c r="Y37" s="332" t="str">
        <f>plus&amp;9</f>
        <v>+9</v>
      </c>
      <c r="Z37" s="332">
        <v>9</v>
      </c>
      <c r="AA37" s="335"/>
      <c r="AB37" s="199"/>
      <c r="AC37" s="199"/>
      <c r="AD37" s="199"/>
      <c r="AE37" s="199"/>
      <c r="AF37" s="199"/>
      <c r="AG37" s="199"/>
      <c r="AH37" s="199"/>
      <c r="AX37" s="48"/>
      <c r="AY37" s="48"/>
      <c r="AZ37" s="48"/>
      <c r="BA37" s="48"/>
      <c r="BB37" s="48"/>
      <c r="BC37" s="48"/>
      <c r="BD37" s="48"/>
    </row>
    <row r="38" spans="1:56" x14ac:dyDescent="0.25">
      <c r="A38" s="437" t="str">
        <f>hth_expert&amp;" "&amp;5</f>
        <v>Expert 5</v>
      </c>
      <c r="B38" s="335">
        <v>5</v>
      </c>
      <c r="C38" s="335"/>
      <c r="D38" s="335">
        <v>2</v>
      </c>
      <c r="E38" s="335">
        <v>3</v>
      </c>
      <c r="F38" s="335">
        <v>3</v>
      </c>
      <c r="G38" s="335">
        <v>2</v>
      </c>
      <c r="H38" s="335">
        <v>2</v>
      </c>
      <c r="I38" s="335"/>
      <c r="J38" s="335">
        <v>20</v>
      </c>
      <c r="K38" s="335"/>
      <c r="L38" s="335"/>
      <c r="M38" s="385"/>
      <c r="N38" s="199"/>
      <c r="O38" s="437" t="s">
        <v>288</v>
      </c>
      <c r="P38" s="335">
        <v>15</v>
      </c>
      <c r="Q38" s="335">
        <v>75</v>
      </c>
      <c r="R38" s="440" t="s">
        <v>284</v>
      </c>
      <c r="S38" s="199"/>
      <c r="T38" s="199"/>
      <c r="U38" s="199"/>
      <c r="V38" s="199"/>
      <c r="W38" s="199"/>
      <c r="X38" s="199"/>
      <c r="Y38" s="199"/>
      <c r="Z38" s="199"/>
      <c r="AA38" s="199"/>
      <c r="AB38" s="199"/>
      <c r="AC38" s="199"/>
      <c r="AD38" s="199"/>
      <c r="AE38" s="199"/>
      <c r="AF38" s="199"/>
      <c r="AG38" s="199"/>
      <c r="AH38" s="199"/>
      <c r="AX38" s="48"/>
      <c r="AY38" s="48"/>
      <c r="AZ38" s="48"/>
      <c r="BA38" s="48"/>
      <c r="BB38" s="48"/>
      <c r="BC38" s="48"/>
      <c r="BD38" s="48"/>
    </row>
    <row r="39" spans="1:56" x14ac:dyDescent="0.25">
      <c r="A39" s="437" t="str">
        <f>hth_expert&amp;" "&amp;6</f>
        <v>Expert 6</v>
      </c>
      <c r="B39" s="335">
        <v>5</v>
      </c>
      <c r="C39" s="335"/>
      <c r="D39" s="335">
        <v>2</v>
      </c>
      <c r="E39" s="335">
        <v>3</v>
      </c>
      <c r="F39" s="335">
        <v>3</v>
      </c>
      <c r="G39" s="335">
        <v>2</v>
      </c>
      <c r="H39" s="335">
        <v>2</v>
      </c>
      <c r="I39" s="335"/>
      <c r="J39" s="385" t="s">
        <v>289</v>
      </c>
      <c r="K39" s="335"/>
      <c r="L39" s="335"/>
      <c r="M39" s="385"/>
      <c r="N39" s="199"/>
      <c r="O39" s="437" t="s">
        <v>290</v>
      </c>
      <c r="P39" s="335">
        <v>11</v>
      </c>
      <c r="Q39" s="335">
        <v>35</v>
      </c>
      <c r="R39" s="440" t="s">
        <v>284</v>
      </c>
      <c r="S39" s="199"/>
      <c r="T39" s="199"/>
      <c r="U39" s="199"/>
      <c r="V39" s="199"/>
      <c r="W39" s="199"/>
      <c r="X39" s="199"/>
      <c r="Y39" s="199"/>
      <c r="Z39" s="199"/>
      <c r="AA39" s="199"/>
      <c r="AB39" s="199"/>
      <c r="AC39" s="199"/>
      <c r="AD39" s="199"/>
      <c r="AE39" s="199"/>
      <c r="AF39" s="199"/>
      <c r="AG39" s="199"/>
      <c r="AH39" s="199"/>
      <c r="AX39" s="48"/>
      <c r="AY39" s="48"/>
      <c r="AZ39" s="48"/>
      <c r="BA39" s="48"/>
      <c r="BB39" s="48"/>
      <c r="BC39" s="48"/>
      <c r="BD39" s="48"/>
    </row>
    <row r="40" spans="1:56" x14ac:dyDescent="0.25">
      <c r="A40" s="437" t="str">
        <f>hth_expert&amp;" "&amp;7</f>
        <v>Expert 7</v>
      </c>
      <c r="B40" s="335">
        <v>5</v>
      </c>
      <c r="C40" s="335"/>
      <c r="D40" s="335">
        <v>2</v>
      </c>
      <c r="E40" s="335">
        <v>3</v>
      </c>
      <c r="F40" s="335">
        <v>3</v>
      </c>
      <c r="G40" s="335">
        <v>2</v>
      </c>
      <c r="H40" s="335">
        <v>2</v>
      </c>
      <c r="I40" s="335"/>
      <c r="J40" s="385" t="s">
        <v>289</v>
      </c>
      <c r="K40" s="335"/>
      <c r="L40" s="335"/>
      <c r="M40" s="385"/>
      <c r="N40" s="199"/>
      <c r="O40" s="437" t="s">
        <v>291</v>
      </c>
      <c r="P40" s="335">
        <v>16</v>
      </c>
      <c r="Q40" s="335">
        <v>82</v>
      </c>
      <c r="R40" s="440" t="s">
        <v>292</v>
      </c>
      <c r="S40" s="199"/>
      <c r="T40" s="199"/>
      <c r="U40" s="199"/>
      <c r="V40" s="199"/>
      <c r="W40" s="199"/>
      <c r="X40" s="199"/>
      <c r="Y40" s="199"/>
      <c r="Z40" s="199"/>
      <c r="AA40" s="199"/>
      <c r="AB40" s="199"/>
      <c r="AC40" s="199"/>
      <c r="AD40" s="199"/>
      <c r="AE40" s="199"/>
      <c r="AF40" s="199"/>
      <c r="AG40" s="199"/>
      <c r="AH40" s="199"/>
      <c r="AX40" s="48"/>
      <c r="AY40" s="48"/>
      <c r="AZ40" s="48"/>
      <c r="BA40" s="48"/>
      <c r="BB40" s="48"/>
      <c r="BC40" s="48"/>
      <c r="BD40" s="48"/>
    </row>
    <row r="41" spans="1:56" x14ac:dyDescent="0.25">
      <c r="A41" s="437" t="str">
        <f>hth_expert&amp;" "&amp;8</f>
        <v>Expert 8</v>
      </c>
      <c r="B41" s="335">
        <v>5</v>
      </c>
      <c r="C41" s="335"/>
      <c r="D41" s="335">
        <v>2</v>
      </c>
      <c r="E41" s="335">
        <v>3</v>
      </c>
      <c r="F41" s="335">
        <v>3</v>
      </c>
      <c r="G41" s="335">
        <v>2</v>
      </c>
      <c r="H41" s="335">
        <v>2</v>
      </c>
      <c r="I41" s="335"/>
      <c r="J41" s="385" t="s">
        <v>289</v>
      </c>
      <c r="K41" s="335"/>
      <c r="L41" s="335"/>
      <c r="M41" s="385" t="s">
        <v>275</v>
      </c>
      <c r="N41" s="199"/>
      <c r="O41" s="437" t="s">
        <v>293</v>
      </c>
      <c r="P41" s="335">
        <v>12</v>
      </c>
      <c r="Q41" s="335">
        <v>40</v>
      </c>
      <c r="R41" s="440" t="s">
        <v>292</v>
      </c>
      <c r="S41" s="199"/>
      <c r="T41" s="199"/>
      <c r="U41" s="199"/>
      <c r="V41" s="199"/>
      <c r="W41" s="199"/>
      <c r="X41" s="199"/>
      <c r="Y41" s="199"/>
      <c r="Z41" s="199"/>
      <c r="AA41" s="199"/>
      <c r="AB41" s="199"/>
      <c r="AC41" s="199"/>
      <c r="AD41" s="199"/>
      <c r="AE41" s="199"/>
      <c r="AF41" s="199"/>
      <c r="AG41" s="199"/>
      <c r="AH41" s="199"/>
      <c r="AX41" s="48"/>
      <c r="AY41" s="48"/>
      <c r="AZ41" s="48"/>
      <c r="BA41" s="48"/>
      <c r="BB41" s="48"/>
      <c r="BC41" s="48"/>
      <c r="BD41" s="48"/>
    </row>
    <row r="42" spans="1:56" x14ac:dyDescent="0.25">
      <c r="A42" s="437" t="str">
        <f>hth_expert&amp;" "&amp;9</f>
        <v>Expert 9</v>
      </c>
      <c r="B42" s="335">
        <v>6</v>
      </c>
      <c r="C42" s="335"/>
      <c r="D42" s="335">
        <v>2</v>
      </c>
      <c r="E42" s="335">
        <v>3</v>
      </c>
      <c r="F42" s="335">
        <v>3</v>
      </c>
      <c r="G42" s="335">
        <v>2</v>
      </c>
      <c r="H42" s="335">
        <v>2</v>
      </c>
      <c r="I42" s="335"/>
      <c r="J42" s="385" t="s">
        <v>289</v>
      </c>
      <c r="K42" s="335"/>
      <c r="L42" s="335"/>
      <c r="M42" s="385" t="s">
        <v>275</v>
      </c>
      <c r="N42" s="199"/>
      <c r="O42" s="437" t="s">
        <v>294</v>
      </c>
      <c r="P42" s="335">
        <v>17</v>
      </c>
      <c r="Q42" s="335">
        <v>160</v>
      </c>
      <c r="R42" s="440" t="s">
        <v>292</v>
      </c>
      <c r="S42" s="199"/>
      <c r="T42" s="199"/>
      <c r="U42" s="199"/>
      <c r="V42" s="199"/>
      <c r="W42" s="199"/>
      <c r="X42" s="199"/>
      <c r="Y42" s="199"/>
      <c r="Z42" s="199"/>
      <c r="AA42" s="199"/>
      <c r="AB42" s="199"/>
      <c r="AC42" s="199"/>
      <c r="AD42" s="199"/>
      <c r="AE42" s="199"/>
      <c r="AF42" s="199"/>
      <c r="AG42" s="199"/>
      <c r="AH42" s="199"/>
      <c r="AX42" s="48"/>
      <c r="AY42" s="48"/>
      <c r="AZ42" s="48"/>
      <c r="BA42" s="48"/>
      <c r="BB42" s="48"/>
      <c r="BC42" s="48"/>
      <c r="BD42" s="48"/>
    </row>
    <row r="43" spans="1:56" x14ac:dyDescent="0.25">
      <c r="A43" s="437" t="str">
        <f>hth_expert&amp;" "&amp;10</f>
        <v>Expert 10</v>
      </c>
      <c r="B43" s="335">
        <v>6</v>
      </c>
      <c r="C43" s="335"/>
      <c r="D43" s="335">
        <v>2</v>
      </c>
      <c r="E43" s="335">
        <v>3</v>
      </c>
      <c r="F43" s="335">
        <v>3</v>
      </c>
      <c r="G43" s="335">
        <v>2</v>
      </c>
      <c r="H43" s="335">
        <v>4</v>
      </c>
      <c r="I43" s="335">
        <v>3</v>
      </c>
      <c r="J43" s="385" t="s">
        <v>289</v>
      </c>
      <c r="K43" s="335"/>
      <c r="L43" s="335"/>
      <c r="M43" s="385" t="s">
        <v>275</v>
      </c>
      <c r="N43" s="199"/>
      <c r="O43" s="437" t="s">
        <v>295</v>
      </c>
      <c r="P43" s="335">
        <v>14</v>
      </c>
      <c r="Q43" s="335">
        <v>60</v>
      </c>
      <c r="R43" s="440" t="s">
        <v>292</v>
      </c>
      <c r="S43" s="199"/>
      <c r="T43" s="199"/>
      <c r="U43" s="199"/>
      <c r="V43" s="199"/>
      <c r="W43" s="199"/>
      <c r="X43" s="199"/>
      <c r="Y43" s="199"/>
      <c r="Z43" s="199"/>
      <c r="AA43" s="199"/>
      <c r="AB43" s="199"/>
      <c r="AC43" s="199"/>
      <c r="AD43" s="199"/>
      <c r="AE43" s="199"/>
      <c r="AF43" s="199"/>
      <c r="AG43" s="199"/>
      <c r="AH43" s="199"/>
      <c r="AX43" s="48"/>
      <c r="AY43" s="48"/>
      <c r="AZ43" s="48"/>
      <c r="BA43" s="48"/>
      <c r="BB43" s="48"/>
      <c r="BC43" s="48"/>
      <c r="BD43" s="48"/>
    </row>
    <row r="44" spans="1:56" x14ac:dyDescent="0.25">
      <c r="A44" s="437" t="str">
        <f>hth_expert&amp;" "&amp;11</f>
        <v>Expert 11</v>
      </c>
      <c r="B44" s="335">
        <v>6</v>
      </c>
      <c r="C44" s="335"/>
      <c r="D44" s="335">
        <v>2</v>
      </c>
      <c r="E44" s="335">
        <v>3</v>
      </c>
      <c r="F44" s="335">
        <v>3</v>
      </c>
      <c r="G44" s="335">
        <v>2</v>
      </c>
      <c r="H44" s="335">
        <v>4</v>
      </c>
      <c r="I44" s="335">
        <v>3</v>
      </c>
      <c r="J44" s="385" t="s">
        <v>289</v>
      </c>
      <c r="K44" s="385" t="s">
        <v>289</v>
      </c>
      <c r="L44" s="335"/>
      <c r="M44" s="385" t="s">
        <v>275</v>
      </c>
      <c r="N44" s="199"/>
      <c r="O44" s="437" t="s">
        <v>296</v>
      </c>
      <c r="P44" s="335">
        <v>15</v>
      </c>
      <c r="Q44" s="335">
        <v>100</v>
      </c>
      <c r="R44" s="440" t="s">
        <v>292</v>
      </c>
      <c r="S44" s="199"/>
      <c r="T44" s="199"/>
      <c r="U44" s="199"/>
      <c r="V44" s="199"/>
      <c r="W44" s="199"/>
      <c r="X44" s="199"/>
      <c r="Y44" s="199"/>
      <c r="Z44" s="199"/>
      <c r="AA44" s="199"/>
      <c r="AB44" s="199"/>
      <c r="AC44" s="199"/>
      <c r="AD44" s="199"/>
      <c r="AE44" s="199"/>
      <c r="AF44" s="199"/>
      <c r="AG44" s="199"/>
      <c r="AH44" s="199"/>
      <c r="AX44" s="48"/>
      <c r="AY44" s="48"/>
      <c r="AZ44" s="48"/>
      <c r="BA44" s="48"/>
      <c r="BB44" s="48"/>
      <c r="BC44" s="48"/>
      <c r="BD44" s="48"/>
    </row>
    <row r="45" spans="1:56" x14ac:dyDescent="0.25">
      <c r="A45" s="437" t="str">
        <f>hth_expert&amp;" "&amp;12</f>
        <v>Expert 12</v>
      </c>
      <c r="B45" s="335">
        <v>6</v>
      </c>
      <c r="C45" s="335"/>
      <c r="D45" s="335">
        <v>2</v>
      </c>
      <c r="E45" s="335">
        <v>5</v>
      </c>
      <c r="F45" s="335">
        <v>5</v>
      </c>
      <c r="G45" s="335">
        <v>2</v>
      </c>
      <c r="H45" s="335">
        <v>4</v>
      </c>
      <c r="I45" s="335">
        <v>3</v>
      </c>
      <c r="J45" s="385" t="s">
        <v>289</v>
      </c>
      <c r="K45" s="385" t="s">
        <v>289</v>
      </c>
      <c r="L45" s="335"/>
      <c r="M45" s="385" t="s">
        <v>275</v>
      </c>
      <c r="N45" s="199"/>
      <c r="O45" s="199"/>
      <c r="P45" s="199"/>
      <c r="Q45" s="199"/>
      <c r="R45" s="199"/>
      <c r="S45" s="199"/>
      <c r="T45" s="199"/>
      <c r="U45" s="199"/>
      <c r="V45" s="199"/>
      <c r="W45" s="199"/>
      <c r="X45" s="199"/>
      <c r="Y45" s="199"/>
      <c r="Z45" s="199"/>
      <c r="AA45" s="199"/>
      <c r="AB45" s="199"/>
      <c r="AC45" s="199"/>
      <c r="AD45" s="199"/>
      <c r="AE45" s="199"/>
      <c r="AF45" s="199"/>
      <c r="AG45" s="199"/>
      <c r="AH45" s="199"/>
      <c r="AI45" s="48"/>
      <c r="AJ45" s="48"/>
      <c r="AK45" s="48"/>
      <c r="AL45" s="48"/>
      <c r="AM45" s="48"/>
      <c r="AN45" s="48"/>
      <c r="AO45" s="48"/>
      <c r="AP45" s="48"/>
      <c r="AQ45" s="48"/>
      <c r="AR45" s="48"/>
      <c r="AS45" s="48"/>
      <c r="AT45" s="48"/>
      <c r="AU45" s="48"/>
      <c r="AV45" s="48"/>
      <c r="AW45" s="48"/>
      <c r="AX45" s="48"/>
      <c r="AY45" s="48"/>
      <c r="AZ45" s="48"/>
      <c r="BA45" s="48"/>
      <c r="BB45" s="48"/>
      <c r="BC45" s="48"/>
      <c r="BD45" s="48"/>
    </row>
    <row r="46" spans="1:56" ht="15.75" thickBot="1" x14ac:dyDescent="0.3">
      <c r="A46" s="437" t="str">
        <f>hth_expert&amp;" "&amp;13</f>
        <v>Expert 13</v>
      </c>
      <c r="B46" s="335">
        <v>6</v>
      </c>
      <c r="C46" s="335"/>
      <c r="D46" s="335">
        <v>2</v>
      </c>
      <c r="E46" s="335">
        <v>5</v>
      </c>
      <c r="F46" s="335">
        <v>5</v>
      </c>
      <c r="G46" s="335">
        <v>2</v>
      </c>
      <c r="H46" s="335">
        <v>4</v>
      </c>
      <c r="I46" s="335">
        <v>3</v>
      </c>
      <c r="J46" s="385" t="s">
        <v>289</v>
      </c>
      <c r="K46" s="385" t="s">
        <v>289</v>
      </c>
      <c r="L46" s="335"/>
      <c r="M46" s="385" t="s">
        <v>275</v>
      </c>
      <c r="N46" s="199"/>
      <c r="O46" s="199"/>
      <c r="P46" s="199"/>
      <c r="Q46" s="199"/>
      <c r="R46" s="199"/>
      <c r="S46" s="199"/>
      <c r="T46" s="199"/>
      <c r="U46" s="199"/>
      <c r="V46" s="199"/>
      <c r="W46" s="199"/>
      <c r="X46" s="199"/>
      <c r="Y46" s="199"/>
      <c r="Z46" s="199"/>
      <c r="AA46" s="199"/>
      <c r="AB46" s="199"/>
      <c r="AC46" s="199"/>
      <c r="AD46" s="199"/>
      <c r="AE46" s="199"/>
      <c r="AF46" s="199"/>
      <c r="AG46" s="199"/>
      <c r="AH46" s="199"/>
      <c r="AI46" s="48"/>
      <c r="AJ46" s="48"/>
      <c r="AK46" s="48"/>
      <c r="AL46" s="48"/>
      <c r="AM46" s="48"/>
      <c r="AN46" s="48"/>
      <c r="AO46" s="48"/>
      <c r="AP46" s="48"/>
      <c r="AQ46" s="48"/>
      <c r="AR46" s="48"/>
      <c r="AS46" s="48"/>
      <c r="AT46" s="48"/>
      <c r="AU46" s="48"/>
      <c r="AV46" s="48"/>
      <c r="AW46" s="48"/>
      <c r="AX46" s="48"/>
      <c r="AY46" s="48"/>
      <c r="AZ46" s="48"/>
      <c r="BA46" s="48"/>
      <c r="BB46" s="48"/>
      <c r="BC46" s="48"/>
      <c r="BD46" s="48"/>
    </row>
    <row r="47" spans="1:56" ht="15.75" thickBot="1" x14ac:dyDescent="0.3">
      <c r="A47" s="437" t="str">
        <f>hth_expert&amp;" "&amp;14</f>
        <v>Expert 14</v>
      </c>
      <c r="B47" s="335">
        <v>7</v>
      </c>
      <c r="C47" s="335"/>
      <c r="D47" s="335">
        <v>2</v>
      </c>
      <c r="E47" s="335">
        <v>5</v>
      </c>
      <c r="F47" s="335">
        <v>5</v>
      </c>
      <c r="G47" s="335">
        <v>2</v>
      </c>
      <c r="H47" s="335">
        <v>4</v>
      </c>
      <c r="I47" s="335">
        <v>3</v>
      </c>
      <c r="J47" s="385" t="s">
        <v>289</v>
      </c>
      <c r="K47" s="385" t="s">
        <v>289</v>
      </c>
      <c r="L47" s="335"/>
      <c r="M47" s="385" t="s">
        <v>275</v>
      </c>
      <c r="N47" s="199"/>
      <c r="O47" s="1448" t="s">
        <v>312</v>
      </c>
      <c r="P47" s="1081"/>
      <c r="Q47" s="1081"/>
      <c r="R47" s="1449"/>
      <c r="S47" s="442">
        <v>2</v>
      </c>
      <c r="T47" s="199"/>
      <c r="U47" s="199"/>
      <c r="V47" s="199"/>
      <c r="W47" s="199"/>
      <c r="X47" s="199"/>
      <c r="Y47" s="199"/>
      <c r="Z47" s="199"/>
      <c r="AA47" s="199"/>
      <c r="AB47" s="199"/>
      <c r="AC47" s="199"/>
      <c r="AD47" s="199"/>
      <c r="AE47" s="199"/>
      <c r="AF47" s="199"/>
      <c r="AG47" s="199"/>
      <c r="AH47" s="199"/>
      <c r="AI47" s="48"/>
      <c r="AJ47" s="48"/>
      <c r="AK47" s="48"/>
      <c r="AL47" s="48"/>
      <c r="AM47" s="48"/>
      <c r="AN47" s="48"/>
      <c r="AO47" s="48"/>
      <c r="AP47" s="48"/>
      <c r="AQ47" s="48"/>
      <c r="AR47" s="48"/>
      <c r="AS47" s="48"/>
      <c r="AT47" s="48"/>
      <c r="AU47" s="48"/>
      <c r="AV47" s="48"/>
      <c r="AW47" s="48"/>
      <c r="AX47" s="48"/>
      <c r="AY47" s="48"/>
      <c r="AZ47" s="48"/>
      <c r="BA47" s="48"/>
      <c r="BB47" s="48"/>
      <c r="BC47" s="48"/>
      <c r="BD47" s="48"/>
    </row>
    <row r="48" spans="1:56" ht="15.75" thickBot="1" x14ac:dyDescent="0.3">
      <c r="A48" s="437" t="str">
        <f>hth_expert&amp;" "&amp;15</f>
        <v>Expert 15</v>
      </c>
      <c r="B48" s="335">
        <v>7</v>
      </c>
      <c r="C48" s="335"/>
      <c r="D48" s="335">
        <v>2</v>
      </c>
      <c r="E48" s="335">
        <v>5</v>
      </c>
      <c r="F48" s="335">
        <v>5</v>
      </c>
      <c r="G48" s="335">
        <v>2</v>
      </c>
      <c r="H48" s="335">
        <v>4</v>
      </c>
      <c r="I48" s="335">
        <v>3</v>
      </c>
      <c r="J48" s="385" t="s">
        <v>289</v>
      </c>
      <c r="K48" s="385" t="s">
        <v>289</v>
      </c>
      <c r="L48" s="335">
        <v>20</v>
      </c>
      <c r="M48" s="385" t="s">
        <v>275</v>
      </c>
      <c r="N48" s="199"/>
      <c r="O48" s="443" t="s">
        <v>317</v>
      </c>
      <c r="P48" s="444" t="s">
        <v>84</v>
      </c>
      <c r="Q48" s="444" t="s">
        <v>87</v>
      </c>
      <c r="R48" s="444" t="s">
        <v>73</v>
      </c>
      <c r="S48" s="445" t="s">
        <v>318</v>
      </c>
      <c r="T48" s="199"/>
      <c r="U48" s="199"/>
      <c r="V48" s="199"/>
      <c r="W48" s="199"/>
      <c r="X48" s="199"/>
      <c r="Y48" s="199"/>
      <c r="Z48" s="199"/>
      <c r="AA48" s="199"/>
      <c r="AB48" s="199"/>
      <c r="AC48" s="199"/>
      <c r="AD48" s="199"/>
      <c r="AE48" s="199"/>
      <c r="AF48" s="199"/>
      <c r="AG48" s="199"/>
      <c r="AH48" s="199"/>
      <c r="AI48" s="48"/>
      <c r="AJ48" s="48"/>
      <c r="AK48" s="48"/>
      <c r="AL48" s="48"/>
      <c r="AM48" s="48"/>
      <c r="AN48" s="48"/>
      <c r="AO48" s="48"/>
      <c r="AP48" s="48"/>
      <c r="AQ48" s="48"/>
      <c r="AR48" s="48"/>
      <c r="AS48" s="48"/>
      <c r="AT48" s="48"/>
      <c r="AU48" s="48"/>
      <c r="AV48" s="48"/>
      <c r="AW48" s="48"/>
      <c r="AX48" s="48"/>
      <c r="AY48" s="48"/>
      <c r="AZ48" s="48"/>
      <c r="BA48" s="48"/>
      <c r="BB48" s="48"/>
      <c r="BC48" s="48"/>
      <c r="BD48" s="48"/>
    </row>
    <row r="49" spans="1:56" x14ac:dyDescent="0.25">
      <c r="A49" s="437" t="str">
        <f>hth_ma&amp;" "&amp;1</f>
        <v>Martial Arts 1</v>
      </c>
      <c r="B49" s="335">
        <v>4</v>
      </c>
      <c r="C49" s="335"/>
      <c r="D49" s="335"/>
      <c r="E49" s="335"/>
      <c r="F49" s="335"/>
      <c r="G49" s="335">
        <v>3</v>
      </c>
      <c r="H49" s="335">
        <v>3</v>
      </c>
      <c r="I49" s="335"/>
      <c r="J49" s="335">
        <v>20</v>
      </c>
      <c r="K49" s="335"/>
      <c r="L49" s="335"/>
      <c r="M49" s="385"/>
      <c r="N49" s="199"/>
      <c r="O49" s="446" t="b">
        <f>IF(S47=1, TRUE, FALSE)</f>
        <v>0</v>
      </c>
      <c r="P49" s="365">
        <f>'Combat Sheet'!$D$33</f>
        <v>0</v>
      </c>
      <c r="Q49" s="365">
        <f>'Combat Sheet'!$H$33</f>
        <v>0</v>
      </c>
      <c r="R49" s="365">
        <f>'Combat Sheet'!$L$33</f>
        <v>0</v>
      </c>
      <c r="S49" s="366">
        <f>'Combat Sheet'!$R$33</f>
        <v>0</v>
      </c>
      <c r="T49" s="199"/>
      <c r="U49" s="199"/>
      <c r="V49" s="199"/>
      <c r="W49" s="199"/>
      <c r="X49" s="199"/>
      <c r="Y49" s="199"/>
      <c r="Z49" s="199"/>
      <c r="AA49" s="199"/>
      <c r="AB49" s="199"/>
      <c r="AC49" s="199"/>
      <c r="AD49" s="199"/>
      <c r="AE49" s="199"/>
      <c r="AF49" s="199"/>
      <c r="AG49" s="199"/>
      <c r="AH49" s="199"/>
      <c r="AI49" s="48"/>
      <c r="AJ49" s="48"/>
      <c r="AK49" s="48"/>
      <c r="AL49" s="48"/>
      <c r="AM49" s="48"/>
      <c r="AN49" s="48"/>
      <c r="AO49" s="48"/>
      <c r="AP49" s="48"/>
      <c r="AQ49" s="48"/>
      <c r="AR49" s="48"/>
      <c r="AS49" s="48"/>
      <c r="AT49" s="48"/>
      <c r="AU49" s="48"/>
      <c r="AV49" s="48"/>
      <c r="AW49" s="48"/>
      <c r="AX49" s="48"/>
      <c r="AY49" s="48"/>
      <c r="AZ49" s="48"/>
      <c r="BA49" s="48"/>
      <c r="BB49" s="48"/>
      <c r="BC49" s="48"/>
      <c r="BD49" s="48"/>
    </row>
    <row r="50" spans="1:56" x14ac:dyDescent="0.25">
      <c r="A50" s="437" t="str">
        <f>hth_ma&amp;" "&amp;2</f>
        <v>Martial Arts 2</v>
      </c>
      <c r="B50" s="335">
        <v>4</v>
      </c>
      <c r="C50" s="335"/>
      <c r="D50" s="335">
        <v>2</v>
      </c>
      <c r="E50" s="335">
        <v>3</v>
      </c>
      <c r="F50" s="335">
        <v>3</v>
      </c>
      <c r="G50" s="335">
        <v>3</v>
      </c>
      <c r="H50" s="335">
        <v>3</v>
      </c>
      <c r="I50" s="335"/>
      <c r="J50" s="335">
        <v>20</v>
      </c>
      <c r="K50" s="335"/>
      <c r="L50" s="335"/>
      <c r="M50" s="385" t="s">
        <v>275</v>
      </c>
      <c r="N50" s="199"/>
      <c r="O50" s="447" t="b">
        <f>IF(S47=2, TRUE, FALSE)</f>
        <v>1</v>
      </c>
      <c r="P50" s="332">
        <f>'Combat Sheet'!$D$38</f>
        <v>0</v>
      </c>
      <c r="Q50" s="332">
        <f>'Combat Sheet'!$H$38</f>
        <v>0</v>
      </c>
      <c r="R50" s="332">
        <f>'Combat Sheet'!$L$38</f>
        <v>0</v>
      </c>
      <c r="S50" s="333">
        <f>'Combat Sheet'!$R$38</f>
        <v>0</v>
      </c>
      <c r="T50" s="199"/>
      <c r="U50" s="199"/>
      <c r="V50" s="199"/>
      <c r="W50" s="199"/>
      <c r="X50" s="199"/>
      <c r="Y50" s="199"/>
      <c r="Z50" s="437" t="s">
        <v>695</v>
      </c>
      <c r="AA50" s="332">
        <f>SUM(Worktable!C19:F19)</f>
        <v>0</v>
      </c>
      <c r="AB50" s="199"/>
      <c r="AC50" s="1455" t="s">
        <v>754</v>
      </c>
      <c r="AD50" s="335" t="s">
        <v>752</v>
      </c>
      <c r="AE50" s="199"/>
      <c r="AF50" s="199"/>
      <c r="AG50" s="199"/>
      <c r="AH50" s="199"/>
      <c r="AI50" s="48"/>
      <c r="AJ50" s="48"/>
      <c r="AK50" s="48"/>
      <c r="AL50" s="48"/>
      <c r="AM50" s="48"/>
      <c r="AN50" s="48"/>
      <c r="AO50" s="48"/>
      <c r="AP50" s="48"/>
      <c r="AQ50" s="48"/>
      <c r="AR50" s="48"/>
      <c r="AS50" s="48"/>
      <c r="AT50" s="48"/>
      <c r="AU50" s="48"/>
      <c r="AV50" s="48"/>
      <c r="AW50" s="48"/>
      <c r="AX50" s="48"/>
      <c r="AY50" s="48"/>
      <c r="AZ50" s="48"/>
      <c r="BA50" s="48"/>
      <c r="BB50" s="48"/>
      <c r="BC50" s="48"/>
      <c r="BD50" s="48"/>
    </row>
    <row r="51" spans="1:56" ht="15.75" thickBot="1" x14ac:dyDescent="0.3">
      <c r="A51" s="437" t="str">
        <f>hth_ma&amp;" "&amp;3</f>
        <v>Martial Arts 3</v>
      </c>
      <c r="B51" s="335">
        <v>4</v>
      </c>
      <c r="C51" s="335"/>
      <c r="D51" s="335">
        <v>2</v>
      </c>
      <c r="E51" s="335">
        <v>3</v>
      </c>
      <c r="F51" s="335">
        <v>3</v>
      </c>
      <c r="G51" s="335">
        <v>3</v>
      </c>
      <c r="H51" s="335">
        <v>3</v>
      </c>
      <c r="I51" s="335"/>
      <c r="J51" s="335">
        <v>20</v>
      </c>
      <c r="K51" s="335"/>
      <c r="L51" s="335"/>
      <c r="M51" s="385" t="s">
        <v>275</v>
      </c>
      <c r="N51" s="199"/>
      <c r="O51" s="448" t="b">
        <f>IF(S47=3, TRUE, FALSE)</f>
        <v>0</v>
      </c>
      <c r="P51" s="340">
        <f>'Combat Sheet'!$D$39</f>
        <v>0</v>
      </c>
      <c r="Q51" s="340">
        <f>'Combat Sheet'!$H$39</f>
        <v>0</v>
      </c>
      <c r="R51" s="340">
        <f>'Combat Sheet'!$L$39</f>
        <v>0</v>
      </c>
      <c r="S51" s="341">
        <f>'Combat Sheet'!$R$39</f>
        <v>0</v>
      </c>
      <c r="T51" s="199"/>
      <c r="U51" s="199"/>
      <c r="V51" s="199"/>
      <c r="W51" s="199"/>
      <c r="X51" s="199"/>
      <c r="Y51" s="199"/>
      <c r="Z51" s="437" t="s">
        <v>696</v>
      </c>
      <c r="AA51" s="332">
        <f>SUM(Worktable!D24:F24)</f>
        <v>0</v>
      </c>
      <c r="AB51" s="199"/>
      <c r="AC51" s="1455"/>
      <c r="AD51" s="335" t="s">
        <v>753</v>
      </c>
      <c r="AE51" s="199"/>
      <c r="AF51" s="199"/>
      <c r="AG51" s="199"/>
      <c r="AH51" s="199"/>
      <c r="AI51" s="48"/>
      <c r="AJ51" s="48"/>
      <c r="AK51" s="48"/>
      <c r="AL51" s="48"/>
      <c r="AM51" s="48"/>
      <c r="AN51" s="48"/>
      <c r="AO51" s="48"/>
      <c r="AP51" s="48"/>
      <c r="AQ51" s="48"/>
      <c r="AR51" s="48"/>
      <c r="AS51" s="48"/>
      <c r="AT51" s="48"/>
      <c r="AU51" s="48"/>
      <c r="AV51" s="48"/>
      <c r="AW51" s="48"/>
      <c r="AX51" s="48"/>
      <c r="AY51" s="48"/>
      <c r="AZ51" s="48"/>
      <c r="BA51" s="48"/>
      <c r="BB51" s="48"/>
      <c r="BC51" s="48"/>
      <c r="BD51" s="48"/>
    </row>
    <row r="52" spans="1:56" ht="15.75" thickBot="1" x14ac:dyDescent="0.3">
      <c r="A52" s="437" t="str">
        <f>hth_ma&amp;" "&amp;4</f>
        <v>Martial Arts 4</v>
      </c>
      <c r="B52" s="335">
        <v>5</v>
      </c>
      <c r="C52" s="335"/>
      <c r="D52" s="335">
        <v>2</v>
      </c>
      <c r="E52" s="335">
        <v>3</v>
      </c>
      <c r="F52" s="335">
        <v>3</v>
      </c>
      <c r="G52" s="335">
        <v>3</v>
      </c>
      <c r="H52" s="335">
        <v>3</v>
      </c>
      <c r="I52" s="335"/>
      <c r="J52" s="335">
        <v>20</v>
      </c>
      <c r="K52" s="335"/>
      <c r="L52" s="335"/>
      <c r="M52" s="385" t="s">
        <v>275</v>
      </c>
      <c r="N52" s="199"/>
      <c r="O52" s="199"/>
      <c r="P52" s="199"/>
      <c r="Q52" s="199"/>
      <c r="R52" s="199"/>
      <c r="S52" s="199"/>
      <c r="T52" s="199"/>
      <c r="U52" s="199"/>
      <c r="V52" s="199"/>
      <c r="W52" s="199"/>
      <c r="X52" s="199"/>
      <c r="Y52" s="199"/>
      <c r="Z52" s="199"/>
      <c r="AA52" s="199"/>
      <c r="AB52" s="199"/>
      <c r="AC52" s="199"/>
      <c r="AD52" s="199"/>
      <c r="AE52" s="199"/>
      <c r="AF52" s="199"/>
      <c r="AG52" s="199"/>
      <c r="AH52" s="199"/>
      <c r="AI52" s="48"/>
      <c r="AJ52" s="48"/>
      <c r="AK52" s="48"/>
      <c r="AL52" s="48"/>
      <c r="AM52" s="48"/>
      <c r="AN52" s="48"/>
      <c r="AO52" s="48"/>
      <c r="AP52" s="48"/>
      <c r="AQ52" s="48"/>
      <c r="AR52" s="48"/>
      <c r="AS52" s="48"/>
      <c r="AT52" s="48"/>
      <c r="AU52" s="48"/>
      <c r="AV52" s="48"/>
      <c r="AW52" s="48"/>
      <c r="AX52" s="48"/>
      <c r="AY52" s="48"/>
      <c r="AZ52" s="48"/>
      <c r="BA52" s="48"/>
      <c r="BB52" s="48"/>
      <c r="BC52" s="48"/>
      <c r="BD52" s="48"/>
    </row>
    <row r="53" spans="1:56" ht="15.75" thickBot="1" x14ac:dyDescent="0.3">
      <c r="A53" s="437" t="str">
        <f>hth_ma&amp;" "&amp;5</f>
        <v>Martial Arts 5</v>
      </c>
      <c r="B53" s="335">
        <v>5</v>
      </c>
      <c r="C53" s="335"/>
      <c r="D53" s="335">
        <v>2</v>
      </c>
      <c r="E53" s="335">
        <v>3</v>
      </c>
      <c r="F53" s="335">
        <v>3</v>
      </c>
      <c r="G53" s="335">
        <v>3</v>
      </c>
      <c r="H53" s="335">
        <v>3</v>
      </c>
      <c r="I53" s="335"/>
      <c r="J53" s="335">
        <v>20</v>
      </c>
      <c r="K53" s="335"/>
      <c r="L53" s="335"/>
      <c r="M53" s="385" t="s">
        <v>275</v>
      </c>
      <c r="N53" s="199"/>
      <c r="O53" s="1448" t="s">
        <v>313</v>
      </c>
      <c r="P53" s="1081"/>
      <c r="Q53" s="1081"/>
      <c r="R53" s="1081"/>
      <c r="S53" s="1449"/>
      <c r="T53" s="124" t="s">
        <v>254</v>
      </c>
      <c r="U53" s="449">
        <v>3</v>
      </c>
      <c r="V53" s="124" t="s">
        <v>314</v>
      </c>
      <c r="W53" s="450">
        <v>4</v>
      </c>
      <c r="X53" s="1448" t="s">
        <v>171</v>
      </c>
      <c r="Y53" s="1082"/>
      <c r="Z53" s="1448" t="s">
        <v>680</v>
      </c>
      <c r="AA53" s="1082"/>
      <c r="AB53" s="1448" t="s">
        <v>697</v>
      </c>
      <c r="AC53" s="1082"/>
      <c r="AD53" s="488" t="s">
        <v>681</v>
      </c>
      <c r="AE53" s="199"/>
      <c r="AF53" s="199"/>
      <c r="AG53" s="199"/>
      <c r="AH53" s="199"/>
      <c r="AI53" s="48"/>
      <c r="AJ53" s="48"/>
      <c r="AK53" s="48"/>
      <c r="AL53" s="48"/>
      <c r="AM53" s="48"/>
      <c r="AN53" s="48"/>
      <c r="AO53" s="48"/>
      <c r="AP53" s="48"/>
      <c r="AQ53" s="48"/>
      <c r="AR53" s="48"/>
      <c r="AS53" s="48"/>
      <c r="AT53" s="48"/>
      <c r="AU53" s="48"/>
      <c r="AV53" s="48"/>
      <c r="AW53" s="48"/>
      <c r="AX53" s="48"/>
      <c r="AY53" s="48"/>
      <c r="AZ53" s="48"/>
      <c r="BA53" s="48"/>
      <c r="BB53" s="48"/>
      <c r="BC53" s="48"/>
      <c r="BD53" s="48"/>
    </row>
    <row r="54" spans="1:56" ht="15.75" thickBot="1" x14ac:dyDescent="0.3">
      <c r="A54" s="437" t="str">
        <f>hth_ma&amp;" "&amp;6</f>
        <v>Martial Arts 6</v>
      </c>
      <c r="B54" s="335">
        <v>5</v>
      </c>
      <c r="C54" s="335"/>
      <c r="D54" s="335">
        <v>2</v>
      </c>
      <c r="E54" s="335">
        <v>3</v>
      </c>
      <c r="F54" s="335">
        <v>3</v>
      </c>
      <c r="G54" s="335">
        <v>3</v>
      </c>
      <c r="H54" s="335">
        <v>3</v>
      </c>
      <c r="I54" s="335"/>
      <c r="J54" s="385" t="s">
        <v>289</v>
      </c>
      <c r="K54" s="335"/>
      <c r="L54" s="335"/>
      <c r="M54" s="385" t="s">
        <v>275</v>
      </c>
      <c r="N54" s="199"/>
      <c r="O54" s="443" t="s">
        <v>254</v>
      </c>
      <c r="P54" s="444" t="s">
        <v>314</v>
      </c>
      <c r="Q54" s="444" t="s">
        <v>84</v>
      </c>
      <c r="R54" s="451" t="s">
        <v>263</v>
      </c>
      <c r="S54" s="444" t="s">
        <v>75</v>
      </c>
      <c r="T54" s="444" t="s">
        <v>76</v>
      </c>
      <c r="U54" s="444" t="s">
        <v>315</v>
      </c>
      <c r="V54" s="444" t="s">
        <v>316</v>
      </c>
      <c r="W54" s="452" t="s">
        <v>269</v>
      </c>
      <c r="X54" s="443" t="s">
        <v>75</v>
      </c>
      <c r="Y54" s="445" t="s">
        <v>76</v>
      </c>
      <c r="Z54" s="443" t="s">
        <v>698</v>
      </c>
      <c r="AA54" s="452" t="s">
        <v>176</v>
      </c>
      <c r="AB54" s="416" t="s">
        <v>683</v>
      </c>
      <c r="AC54" s="453" t="s">
        <v>176</v>
      </c>
      <c r="AD54" s="489" t="s">
        <v>751</v>
      </c>
      <c r="AE54" s="199"/>
      <c r="AF54" s="199"/>
      <c r="AG54" s="199"/>
      <c r="AH54" s="199"/>
      <c r="AI54" s="48"/>
      <c r="AJ54" s="48"/>
      <c r="AK54" s="48"/>
      <c r="AL54" s="48"/>
      <c r="AM54" s="48"/>
      <c r="AN54" s="48"/>
      <c r="AO54" s="48"/>
      <c r="AP54" s="48"/>
      <c r="AQ54" s="48"/>
      <c r="AR54" s="48"/>
      <c r="AS54" s="48"/>
      <c r="AT54" s="48"/>
      <c r="AU54" s="48"/>
      <c r="AV54" s="48"/>
      <c r="AW54" s="48"/>
      <c r="AX54" s="48"/>
      <c r="AY54" s="48"/>
      <c r="AZ54" s="48"/>
      <c r="BA54" s="48"/>
      <c r="BB54" s="48"/>
      <c r="BC54" s="48"/>
      <c r="BD54" s="48"/>
    </row>
    <row r="55" spans="1:56" x14ac:dyDescent="0.25">
      <c r="A55" s="437" t="str">
        <f>hth_ma&amp;" "&amp;7</f>
        <v>Martial Arts 7</v>
      </c>
      <c r="B55" s="335">
        <v>5</v>
      </c>
      <c r="C55" s="335"/>
      <c r="D55" s="335">
        <v>2</v>
      </c>
      <c r="E55" s="335">
        <v>3</v>
      </c>
      <c r="F55" s="335">
        <v>3</v>
      </c>
      <c r="G55" s="335">
        <v>3</v>
      </c>
      <c r="H55" s="335">
        <v>3</v>
      </c>
      <c r="I55" s="335"/>
      <c r="J55" s="385" t="s">
        <v>289</v>
      </c>
      <c r="K55" s="335"/>
      <c r="L55" s="335"/>
      <c r="M55" s="385" t="s">
        <v>275</v>
      </c>
      <c r="N55" s="199"/>
      <c r="O55" s="454" t="b">
        <f>IF(U53=1, TRUE, FALSE)</f>
        <v>0</v>
      </c>
      <c r="P55" s="455" t="b">
        <f>IF(W53=1, TRUE, FALSE)</f>
        <v>0</v>
      </c>
      <c r="Q55" s="455">
        <f>'Combat Sheet'!E43</f>
        <v>0</v>
      </c>
      <c r="R55" s="455">
        <f>'Combat Sheet'!F44</f>
        <v>0</v>
      </c>
      <c r="S55" s="455">
        <f>'Combat Sheet'!S43+'Combat Sheet'!S44</f>
        <v>0</v>
      </c>
      <c r="T55" s="455">
        <f>'Combat Sheet'!T43+'Combat Sheet'!T44</f>
        <v>0</v>
      </c>
      <c r="U55" s="455">
        <f>IF(COUNTIF(skill_select, R55)=0, 'Combat Sheet'!I43, IF(INDEX(wp_features, MATCH(R55, feature_col, 0), MATCH(calc_lev-(VLOOKUP(R55, wp_search, 10, FALSE))+1, feature_row, 0))="+1D6", 'Combat Sheet'!I43+1, 'Combat Sheet'!I43))</f>
        <v>0</v>
      </c>
      <c r="V55" s="455" t="str">
        <f>'Combat Sheet'!K43</f>
        <v>D6</v>
      </c>
      <c r="W55" s="455">
        <f>'Combat Sheet'!M43+'Combat Sheet'!U43+'Combat Sheet'!U44+IF(COUNTIF(skill_select, R55)&gt;0, INDEX(wp_damage, MATCH(R55, damage_col, 0), MATCH(calc_lev-(VLOOKUP(R55, wp_search, 10, FALSE))+1, damage_row, 0)), 0)</f>
        <v>0</v>
      </c>
      <c r="X55" s="455">
        <f>IF(COUNTIF(skill_select, R55)&gt;0, INDEX(wp_strike, MATCH(R55, strike_col, 0), MATCH(calc_lev-(VLOOKUP(R55, wp_search, 10, FALSE))+1, strike_row, 0)), 0)</f>
        <v>0</v>
      </c>
      <c r="Y55" s="456">
        <f>IF(COUNTIF(skill_select, R55)&gt;0, INDEX(wp_parry, MATCH(R55, parry_col, 0), MATCH(calc_lev-(VLOOKUP(R55, wp_search, 10, FALSE))+1, parry_row, 0)), 0)</f>
        <v>0</v>
      </c>
      <c r="Z55" s="446" t="str">
        <f>IF(R55=0, "", VLOOKUP(R55, range_type, 17, FALSE))</f>
        <v/>
      </c>
      <c r="AA55" s="366" t="str">
        <f>IF('Combat Sheet'!O43="", "", ROUND(IF(AD55="ft", 'Combat Sheet'!O43+IF(COUNTIF(skill_select, R55)&gt;0, INDEX(wp_range, MATCH(R55, range_col, 0), MATCH(calc_lev-(VLOOKUP(R55, wp_search, 10, FALSE))+1, range_row, 0)), 0), 'Combat Sheet'!O43+IF(COUNTIF(skill_select, R55)&gt;0, INDEX(wp_range, MATCH(R55, range_col, 0), MATCH(calc_lev-(VLOOKUP(R55, wp_search, 10, FALSE))+1, range_row, 0))*0.3048, 0)), 1))</f>
        <v/>
      </c>
      <c r="AB55" s="321" t="str">
        <f>IF(U55*VLOOKUP(V55, die_damage, 4, FALSE)+W55&gt;VLOOKUP(total_ps, sn_ps_punch, 5, TRUE), U55&amp;V55&amp;"+"&amp;W55+total_damage, IF(ps_type="Supernatural", $AA$5, U55&amp;V55&amp;"+"&amp;W55+total_damage))</f>
        <v>0D6+0</v>
      </c>
      <c r="AC55" s="323" t="str">
        <f>U55&amp;V55&amp;"+"&amp;W55+range_damage</f>
        <v>0D6+0</v>
      </c>
      <c r="AD55" s="490" t="str">
        <f>'Combat Sheet'!P43</f>
        <v>ft</v>
      </c>
      <c r="AE55" s="199"/>
      <c r="AF55" s="199"/>
      <c r="AG55" s="199"/>
      <c r="AH55" s="199"/>
      <c r="AI55" s="48"/>
      <c r="AJ55" s="48"/>
      <c r="AK55" s="48"/>
      <c r="AL55" s="48"/>
      <c r="AM55" s="48"/>
      <c r="AN55" s="48"/>
      <c r="AO55" s="48"/>
      <c r="AP55" s="48"/>
      <c r="AQ55" s="48"/>
      <c r="AR55" s="48"/>
      <c r="AS55" s="48"/>
      <c r="AT55" s="48"/>
      <c r="AU55" s="48"/>
      <c r="AV55" s="48"/>
      <c r="AW55" s="48"/>
      <c r="AX55" s="48"/>
      <c r="AY55" s="48"/>
      <c r="AZ55" s="48"/>
      <c r="BA55" s="48"/>
      <c r="BB55" s="48"/>
      <c r="BC55" s="48"/>
      <c r="BD55" s="48"/>
    </row>
    <row r="56" spans="1:56" x14ac:dyDescent="0.25">
      <c r="A56" s="437" t="str">
        <f>hth_ma&amp;" "&amp;8</f>
        <v>Martial Arts 8</v>
      </c>
      <c r="B56" s="335">
        <v>5</v>
      </c>
      <c r="C56" s="335"/>
      <c r="D56" s="335">
        <v>2</v>
      </c>
      <c r="E56" s="335">
        <v>3</v>
      </c>
      <c r="F56" s="335">
        <v>3</v>
      </c>
      <c r="G56" s="335">
        <v>3</v>
      </c>
      <c r="H56" s="335">
        <v>3</v>
      </c>
      <c r="I56" s="335"/>
      <c r="J56" s="385" t="s">
        <v>289</v>
      </c>
      <c r="K56" s="335"/>
      <c r="L56" s="335"/>
      <c r="M56" s="385" t="s">
        <v>275</v>
      </c>
      <c r="N56" s="199"/>
      <c r="O56" s="457" t="b">
        <f>IF(U53=2, TRUE, FALSE)</f>
        <v>0</v>
      </c>
      <c r="P56" s="439" t="b">
        <f>IF(W53=2, TRUE, FALSE)</f>
        <v>0</v>
      </c>
      <c r="Q56" s="439">
        <f>'Combat Sheet'!E48</f>
        <v>0</v>
      </c>
      <c r="R56" s="439">
        <f>'Combat Sheet'!F49</f>
        <v>0</v>
      </c>
      <c r="S56" s="439">
        <f>'Combat Sheet'!S48+'Combat Sheet'!S49</f>
        <v>0</v>
      </c>
      <c r="T56" s="439">
        <f>'Combat Sheet'!T48+'Combat Sheet'!T49</f>
        <v>0</v>
      </c>
      <c r="U56" s="439">
        <f>IF(COUNTIF(skill_select, R56)=0, 'Combat Sheet'!I48, IF(INDEX(wp_features, MATCH(R56, feature_col, 0), MATCH(calc_lev-(VLOOKUP(R56, wp_search, 10, FALSE))+1, feature_row, 0))="+1D6", 'Combat Sheet'!I48+1, 'Combat Sheet'!I48))</f>
        <v>0</v>
      </c>
      <c r="V56" s="439" t="str">
        <f>'Combat Sheet'!K48</f>
        <v>D6</v>
      </c>
      <c r="W56" s="439">
        <f>'Combat Sheet'!M48+'Combat Sheet'!U48+'Combat Sheet'!U49++IF(COUNTIF(skill_select, R56)&gt;0, INDEX(wp_damage, MATCH(R56, damage_col, 0), MATCH(calc_lev-(VLOOKUP(R56, wp_search, 10, FALSE))+1, damage_row, 0)), 0)</f>
        <v>0</v>
      </c>
      <c r="X56" s="439">
        <f>IF(COUNTIF(skill_select, R56)&gt;0, INDEX(wp_strike, MATCH(R56, strike_col, 0), MATCH(calc_lev-(VLOOKUP(R56, wp_search, 10, FALSE))+1, strike_row, 0)), 0)</f>
        <v>0</v>
      </c>
      <c r="Y56" s="458">
        <f>IF(COUNTIF(skill_select, R56)&gt;0, INDEX(wp_parry, MATCH(R56, parry_col, 0), MATCH(calc_lev-(VLOOKUP(R56, wp_search, 10, FALSE))+1, parry_row, 0)), 0)</f>
        <v>0</v>
      </c>
      <c r="Z56" s="447" t="str">
        <f>IF(R56=0, "", VLOOKUP(R56, range_type, 17, FALSE))</f>
        <v/>
      </c>
      <c r="AA56" s="333" t="str">
        <f>IF('Combat Sheet'!O48="", "", ROUND(IF(AD56="ft", 'Combat Sheet'!O48+IF(COUNTIF(skill_select, R56)&gt;0, INDEX(wp_range, MATCH(R56, range_col, 0), MATCH(calc_lev-(VLOOKUP(R56, wp_search, 10, FALSE))+1, range_row, 0)), 0), 'Combat Sheet'!O48+IF(COUNTIF(skill_select, R56)&gt;0, INDEX(wp_range, MATCH(R56, range_col, 0), MATCH(calc_lev-(VLOOKUP(R56, wp_search, 10, FALSE))+1, range_row, 0))*0.3048, 0)), 1))</f>
        <v/>
      </c>
      <c r="AB56" s="331" t="str">
        <f>IF(U56*VLOOKUP(V56, die_damage, 4, FALSE)+W56&gt;VLOOKUP(total_ps, sn_ps_punch, 5, TRUE), U56&amp;V56&amp;"+"&amp;W56+total_damage, IF(ps_type="Supernatural", $AA$5, U56&amp;V56&amp;"+"&amp;W56+total_damage))</f>
        <v>0D6+0</v>
      </c>
      <c r="AC56" s="333" t="str">
        <f>U56&amp;V56&amp;"+"&amp;W56+range_damage</f>
        <v>0D6+0</v>
      </c>
      <c r="AD56" s="491" t="str">
        <f>'Combat Sheet'!P48</f>
        <v>ft</v>
      </c>
      <c r="AE56" s="199"/>
      <c r="AF56" s="199"/>
      <c r="AG56" s="199"/>
      <c r="AH56" s="199"/>
      <c r="AI56" s="48"/>
      <c r="AJ56" s="48"/>
      <c r="AK56" s="48"/>
      <c r="AL56" s="48"/>
      <c r="AM56" s="48"/>
      <c r="AN56" s="48"/>
      <c r="AO56" s="48"/>
      <c r="AP56" s="48"/>
      <c r="AQ56" s="48"/>
      <c r="AR56" s="48"/>
      <c r="AS56" s="48"/>
      <c r="AT56" s="48"/>
      <c r="AU56" s="48"/>
      <c r="AV56" s="48"/>
      <c r="AW56" s="48"/>
      <c r="AX56" s="48"/>
      <c r="AY56" s="48"/>
      <c r="AZ56" s="48"/>
      <c r="BA56" s="48"/>
      <c r="BB56" s="48"/>
      <c r="BC56" s="48"/>
      <c r="BD56" s="48"/>
    </row>
    <row r="57" spans="1:56" x14ac:dyDescent="0.25">
      <c r="A57" s="437" t="str">
        <f>hth_ma&amp;" "&amp;9</f>
        <v>Martial Arts 9</v>
      </c>
      <c r="B57" s="335">
        <v>6</v>
      </c>
      <c r="C57" s="335"/>
      <c r="D57" s="335">
        <v>2</v>
      </c>
      <c r="E57" s="335">
        <v>3</v>
      </c>
      <c r="F57" s="335">
        <v>3</v>
      </c>
      <c r="G57" s="335">
        <v>3</v>
      </c>
      <c r="H57" s="335">
        <v>3</v>
      </c>
      <c r="I57" s="335"/>
      <c r="J57" s="385" t="s">
        <v>289</v>
      </c>
      <c r="K57" s="335"/>
      <c r="L57" s="335"/>
      <c r="M57" s="385" t="s">
        <v>275</v>
      </c>
      <c r="N57" s="199"/>
      <c r="O57" s="457" t="b">
        <f>IF(U53=3, TRUE, FALSE)</f>
        <v>1</v>
      </c>
      <c r="P57" s="439" t="b">
        <f>IF(W53=3, TRUE, FALSE)</f>
        <v>0</v>
      </c>
      <c r="Q57" s="439">
        <f>'Combat Sheet'!E53</f>
        <v>0</v>
      </c>
      <c r="R57" s="439">
        <f>'Combat Sheet'!F54</f>
        <v>0</v>
      </c>
      <c r="S57" s="439">
        <f>'Combat Sheet'!S53+'Combat Sheet'!S54</f>
        <v>0</v>
      </c>
      <c r="T57" s="439">
        <f>'Combat Sheet'!T53+'Combat Sheet'!T54</f>
        <v>0</v>
      </c>
      <c r="U57" s="439">
        <f>IF(COUNTIF(skill_select, R57)=0, 'Combat Sheet'!I53, IF(INDEX(wp_features, MATCH(R57, feature_col, 0), MATCH(calc_lev-(VLOOKUP(R57, wp_search, 10, FALSE))+1, feature_row, 0))="+1D6", 'Combat Sheet'!I53+1, 'Combat Sheet'!I53))</f>
        <v>0</v>
      </c>
      <c r="V57" s="439" t="str">
        <f>'Combat Sheet'!K53</f>
        <v>D6</v>
      </c>
      <c r="W57" s="439">
        <f>'Combat Sheet'!M53+'Combat Sheet'!U53+'Combat Sheet'!U54+IF(COUNTIF(skill_select, R57)&gt;0, INDEX(wp_damage, MATCH(R57, damage_col, 0), MATCH(calc_lev-(VLOOKUP(R57, wp_search, 10, FALSE))+1, damage_row, 0)), 0)</f>
        <v>0</v>
      </c>
      <c r="X57" s="439">
        <f>IF(COUNTIF(skill_select, R57)&gt;0, INDEX(wp_strike, MATCH(R57, strike_col, 0), MATCH(calc_lev-(VLOOKUP(R57, wp_search, 10, FALSE))+1, strike_row, 0)), 0)</f>
        <v>0</v>
      </c>
      <c r="Y57" s="458">
        <f>IF(COUNTIF(skill_select, R57)&gt;0, INDEX(wp_parry, MATCH(R57, parry_col, 0), MATCH(calc_lev-(VLOOKUP(R57, wp_search, 10, FALSE))+1, parry_row, 0)), 0)</f>
        <v>0</v>
      </c>
      <c r="Z57" s="447" t="str">
        <f>IF(R57=0, "", VLOOKUP(R57, range_type, 17, FALSE))</f>
        <v/>
      </c>
      <c r="AA57" s="333" t="str">
        <f>IF('Combat Sheet'!O53="", "", ROUND(IF(AD57="ft", 'Combat Sheet'!O53+IF(COUNTIF(skill_select, R57)&gt;0, INDEX(wp_range, MATCH(R57, range_col, 0), MATCH(calc_lev-(VLOOKUP(R57, wp_search, 10, FALSE))+1, range_row, 0)), 0),  'Combat Sheet'!O53+IF(COUNTIF(skill_select, R57)&gt;0, INDEX(wp_range, MATCH(R57, range_col, 0), MATCH(calc_lev-(VLOOKUP(R57, wp_search, 10, FALSE))+1, range_row, 0))*0.3048, 0)), 1))</f>
        <v/>
      </c>
      <c r="AB57" s="331" t="str">
        <f>IF(U57*VLOOKUP(V57, die_damage, 4, FALSE)+W57&gt;VLOOKUP(total_ps, sn_ps_punch, 5, TRUE), U57&amp;V57&amp;"+"&amp;W57+total_damage, IF(ps_type="Supernatural", $AA$5, U57&amp;V57&amp;"+"&amp;W57+total_damage))</f>
        <v>0D6+0</v>
      </c>
      <c r="AC57" s="333" t="str">
        <f>U57&amp;V57&amp;"+"&amp;W57+range_damage</f>
        <v>0D6+0</v>
      </c>
      <c r="AD57" s="491" t="str">
        <f>'Combat Sheet'!P53</f>
        <v>ft</v>
      </c>
      <c r="AE57" s="199"/>
      <c r="AF57" s="199"/>
      <c r="AG57" s="199"/>
      <c r="AH57" s="199"/>
      <c r="AI57" s="48"/>
      <c r="AJ57" s="48"/>
      <c r="AK57" s="48"/>
      <c r="AL57" s="48"/>
      <c r="AM57" s="48"/>
      <c r="AN57" s="48"/>
      <c r="AO57" s="48"/>
      <c r="AP57" s="48"/>
      <c r="AQ57" s="48"/>
      <c r="AR57" s="48"/>
      <c r="AS57" s="48"/>
      <c r="AT57" s="48"/>
      <c r="AU57" s="48"/>
      <c r="AV57" s="48"/>
      <c r="AW57" s="48"/>
      <c r="AX57" s="48"/>
      <c r="AY57" s="48"/>
      <c r="AZ57" s="48"/>
      <c r="BA57" s="48"/>
      <c r="BB57" s="48"/>
      <c r="BC57" s="48"/>
      <c r="BD57" s="48"/>
    </row>
    <row r="58" spans="1:56" x14ac:dyDescent="0.25">
      <c r="A58" s="437" t="str">
        <f>hth_ma&amp;" "&amp;10</f>
        <v>Martial Arts 10</v>
      </c>
      <c r="B58" s="335">
        <v>6</v>
      </c>
      <c r="C58" s="335">
        <v>1</v>
      </c>
      <c r="D58" s="335">
        <v>2</v>
      </c>
      <c r="E58" s="335">
        <v>3</v>
      </c>
      <c r="F58" s="335">
        <v>3</v>
      </c>
      <c r="G58" s="335">
        <v>3</v>
      </c>
      <c r="H58" s="335">
        <v>3</v>
      </c>
      <c r="I58" s="335"/>
      <c r="J58" s="385" t="s">
        <v>289</v>
      </c>
      <c r="K58" s="335"/>
      <c r="L58" s="335"/>
      <c r="M58" s="385" t="s">
        <v>275</v>
      </c>
      <c r="N58" s="199"/>
      <c r="O58" s="457" t="b">
        <f>IF(U53=4, TRUE, FALSE)</f>
        <v>0</v>
      </c>
      <c r="P58" s="439" t="b">
        <f>IF(W53=4, TRUE, FALSE)</f>
        <v>1</v>
      </c>
      <c r="Q58" s="439">
        <f>'Combat Sheet'!E55</f>
        <v>0</v>
      </c>
      <c r="R58" s="439">
        <f>'Combat Sheet'!F56</f>
        <v>0</v>
      </c>
      <c r="S58" s="439">
        <f>'Combat Sheet'!S55+'Combat Sheet'!S56</f>
        <v>0</v>
      </c>
      <c r="T58" s="439">
        <f>'Combat Sheet'!T55+'Combat Sheet'!T56</f>
        <v>0</v>
      </c>
      <c r="U58" s="439">
        <f>IF(COUNTIF(skill_select, R58)=0, 'Combat Sheet'!I55, IF(INDEX(wp_features, MATCH(R58, feature_col, 0), MATCH(calc_lev-(VLOOKUP(R58, wp_search, 10, FALSE))+1, feature_row, 0))="+1D6", 'Combat Sheet'!I55+1, 'Combat Sheet'!I55))</f>
        <v>0</v>
      </c>
      <c r="V58" s="439" t="str">
        <f>'Combat Sheet'!K55</f>
        <v>D6</v>
      </c>
      <c r="W58" s="439">
        <f>'Combat Sheet'!M55+'Combat Sheet'!U55+'Combat Sheet'!U56+IF(COUNTIF(skill_select, R58)&gt;0, INDEX(wp_damage, MATCH(R58, damage_col, 0), MATCH(calc_lev-(VLOOKUP(R58, wp_search, 10, FALSE))+1, damage_row, 0)), 0)</f>
        <v>0</v>
      </c>
      <c r="X58" s="439">
        <f>IF(COUNTIF(skill_select, R58)&gt;0, INDEX(wp_strike, MATCH(R58, strike_col, 0), MATCH(calc_lev-(VLOOKUP(R58, wp_search, 10, FALSE))+1, strike_row, 0)), 0)</f>
        <v>0</v>
      </c>
      <c r="Y58" s="458">
        <f>IF(COUNTIF(skill_select, R58)&gt;0, INDEX(wp_parry, MATCH(R58, parry_col, 0), MATCH(calc_lev-(VLOOKUP(R58, wp_search, 10, FALSE))+1, parry_row, 0)), 0)</f>
        <v>0</v>
      </c>
      <c r="Z58" s="447" t="str">
        <f>IF(R58=0, "", VLOOKUP(R58, range_type, 17, FALSE))</f>
        <v/>
      </c>
      <c r="AA58" s="333" t="str">
        <f>IF('Combat Sheet'!O55="", "", ROUND(IF(AD58="ft", 'Combat Sheet'!O55+IF(COUNTIF(skill_select, R58)&gt;0, INDEX(wp_range, MATCH(R58, range_col, 0), MATCH(calc_lev-(VLOOKUP(R58, wp_search, 10, FALSE))+1, range_row, 0)), 0), 'Combat Sheet'!O55+IF(COUNTIF(skill_select, R58)&gt;0, INDEX(wp_range, MATCH(R58, range_col, 0), MATCH(calc_lev-(VLOOKUP(R58, wp_search, 10, FALSE))+1, range_row, 0))*0.3048, 0)), 1))</f>
        <v/>
      </c>
      <c r="AB58" s="331" t="str">
        <f>IF(U58*VLOOKUP(V58, die_damage, 4, FALSE)+W58&gt;VLOOKUP(total_ps, sn_ps_punch, 5, TRUE), U58&amp;V58&amp;"+"&amp;W58+total_damage, IF(ps_type="Supernatural", $AA$5, U58&amp;V58&amp;"+"&amp;W58+total_damage))</f>
        <v>0D6+0</v>
      </c>
      <c r="AC58" s="333" t="str">
        <f>U58&amp;V58&amp;"+"&amp;W58+range_damage</f>
        <v>0D6+0</v>
      </c>
      <c r="AD58" s="491" t="str">
        <f>'Combat Sheet'!P55</f>
        <v>ft</v>
      </c>
      <c r="AE58" s="199"/>
      <c r="AF58" s="199"/>
      <c r="AG58" s="199"/>
      <c r="AH58" s="199"/>
      <c r="AI58" s="48"/>
      <c r="AJ58" s="48"/>
      <c r="AK58" s="48"/>
      <c r="AL58" s="48"/>
      <c r="AM58" s="48"/>
      <c r="AN58" s="48"/>
      <c r="AO58" s="48"/>
      <c r="AP58" s="48"/>
      <c r="AQ58" s="48"/>
      <c r="AR58" s="48"/>
      <c r="AS58" s="48"/>
      <c r="AT58" s="48"/>
      <c r="AU58" s="48"/>
      <c r="AV58" s="48"/>
      <c r="AW58" s="48"/>
      <c r="AX58" s="48"/>
      <c r="AY58" s="48"/>
      <c r="AZ58" s="48"/>
      <c r="BA58" s="48"/>
      <c r="BB58" s="48"/>
      <c r="BC58" s="48"/>
      <c r="BD58" s="48"/>
    </row>
    <row r="59" spans="1:56" ht="15.75" thickBot="1" x14ac:dyDescent="0.3">
      <c r="A59" s="437" t="str">
        <f>hth_ma&amp;" "&amp;11</f>
        <v>Martial Arts 11</v>
      </c>
      <c r="B59" s="335">
        <v>6</v>
      </c>
      <c r="C59" s="335">
        <v>1</v>
      </c>
      <c r="D59" s="335">
        <v>2</v>
      </c>
      <c r="E59" s="335">
        <v>3</v>
      </c>
      <c r="F59" s="335">
        <v>3</v>
      </c>
      <c r="G59" s="335">
        <v>3</v>
      </c>
      <c r="H59" s="335">
        <v>3</v>
      </c>
      <c r="I59" s="335">
        <v>4</v>
      </c>
      <c r="J59" s="385" t="s">
        <v>289</v>
      </c>
      <c r="K59" s="335"/>
      <c r="L59" s="335"/>
      <c r="M59" s="385" t="s">
        <v>275</v>
      </c>
      <c r="N59" s="199"/>
      <c r="O59" s="459" t="b">
        <f>IF(U53=5, TRUE, FALSE)</f>
        <v>0</v>
      </c>
      <c r="P59" s="460" t="b">
        <f>IF(W53=5, TRUE, FALSE)</f>
        <v>0</v>
      </c>
      <c r="Q59" s="460">
        <f>'Combat Sheet'!E57</f>
        <v>0</v>
      </c>
      <c r="R59" s="460">
        <f>'Combat Sheet'!F58</f>
        <v>0</v>
      </c>
      <c r="S59" s="460">
        <f>'Combat Sheet'!S57+'Combat Sheet'!S58</f>
        <v>0</v>
      </c>
      <c r="T59" s="460">
        <f>'Combat Sheet'!T57+'Combat Sheet'!T58</f>
        <v>0</v>
      </c>
      <c r="U59" s="460">
        <f>IF(COUNTIF(skill_select, R59)=0, 'Combat Sheet'!I57, IF(INDEX(wp_features, MATCH(R59, feature_col, 0), MATCH(calc_lev-(VLOOKUP(R59, wp_search, 10, FALSE))+1, feature_row, 0))="+1D6", 'Combat Sheet'!I57+1, 'Combat Sheet'!I57))</f>
        <v>0</v>
      </c>
      <c r="V59" s="460" t="str">
        <f>'Combat Sheet'!K57</f>
        <v>D6</v>
      </c>
      <c r="W59" s="460">
        <f>'Combat Sheet'!M57+'Combat Sheet'!U57+'Combat Sheet'!U58+IF(COUNTIF(skill_select, R59)&gt;0, INDEX(wp_damage, MATCH(R59, damage_col, 0), MATCH(calc_lev-(VLOOKUP(R59, wp_search, 10, FALSE))+1, damage_row, 0)), 0)</f>
        <v>0</v>
      </c>
      <c r="X59" s="460">
        <f>IF(COUNTIF(skill_select, R59)&gt;0, INDEX(wp_strike, MATCH(R59, strike_col, 0), MATCH(calc_lev-(VLOOKUP(R59, wp_search, 10, FALSE))+1, strike_row, 0)), 0)</f>
        <v>0</v>
      </c>
      <c r="Y59" s="461">
        <f>IF(COUNTIF(skill_select, R59)&gt;0, INDEX(wp_parry, MATCH(R59, parry_col, 0), MATCH(calc_lev-(VLOOKUP(R59, wp_search, 10, FALSE))+1, parry_row, 0)), 0)</f>
        <v>0</v>
      </c>
      <c r="Z59" s="448" t="str">
        <f>IF(R59=0, "", VLOOKUP(R59, range_type, 17, FALSE))</f>
        <v/>
      </c>
      <c r="AA59" s="341" t="str">
        <f>IF('Combat Sheet'!O57="", "", ROUND(IF(AD59="ft", 'Combat Sheet'!O57+IF(COUNTIF(skill_select, R59)&gt;0, INDEX(wp_range, MATCH(R59, range_col, 0), MATCH(calc_lev-(VLOOKUP(R59, wp_search, 10, FALSE))+1, range_row, 0)), 0), 'Combat Sheet'!O57+IF(COUNTIF(skill_select, R59)&gt;0, INDEX(wp_range, MATCH(R59, range_col, 0), MATCH(calc_lev-(VLOOKUP(R59, wp_search, 10, FALSE))+1, range_row, 0))*0.3048, 0)), 1))</f>
        <v/>
      </c>
      <c r="AB59" s="339" t="str">
        <f>IF(U59*VLOOKUP(V59, die_damage, 4, FALSE)+W59&gt;VLOOKUP(total_ps, sn_ps_punch, 5, TRUE), U59&amp;V59&amp;"+"&amp;W59+total_damage, IF(ps_type="Supernatural", $AA$5, U59&amp;V59&amp;"+"&amp;W59+total_damage))</f>
        <v>0D6+0</v>
      </c>
      <c r="AC59" s="341" t="str">
        <f>U59&amp;V59&amp;"+"&amp;W59+range_damage</f>
        <v>0D6+0</v>
      </c>
      <c r="AD59" s="492" t="str">
        <f>'Combat Sheet'!P57</f>
        <v>ft</v>
      </c>
      <c r="AE59" s="199"/>
      <c r="AF59" s="199"/>
      <c r="AG59" s="199"/>
      <c r="AH59" s="199"/>
      <c r="AI59" s="48"/>
      <c r="AJ59" s="48"/>
      <c r="AK59" s="48"/>
      <c r="AL59" s="48"/>
      <c r="AM59" s="48"/>
      <c r="AN59" s="48"/>
      <c r="AO59" s="48"/>
      <c r="AP59" s="48"/>
      <c r="AQ59" s="48"/>
      <c r="AR59" s="48"/>
      <c r="AS59" s="48"/>
      <c r="AT59" s="48"/>
      <c r="AU59" s="48"/>
      <c r="AV59" s="48"/>
      <c r="AW59" s="48"/>
      <c r="AX59" s="48"/>
      <c r="AY59" s="48"/>
      <c r="AZ59" s="48"/>
      <c r="BA59" s="48"/>
      <c r="BB59" s="48"/>
      <c r="BC59" s="48"/>
      <c r="BD59" s="48"/>
    </row>
    <row r="60" spans="1:56" x14ac:dyDescent="0.25">
      <c r="A60" s="437" t="str">
        <f>hth_ma&amp;" "&amp;12</f>
        <v>Martial Arts 12</v>
      </c>
      <c r="B60" s="335">
        <v>6</v>
      </c>
      <c r="C60" s="335">
        <v>1</v>
      </c>
      <c r="D60" s="335">
        <v>2</v>
      </c>
      <c r="E60" s="335">
        <v>5</v>
      </c>
      <c r="F60" s="335">
        <v>5</v>
      </c>
      <c r="G60" s="335">
        <v>3</v>
      </c>
      <c r="H60" s="335">
        <v>3</v>
      </c>
      <c r="I60" s="335">
        <v>4</v>
      </c>
      <c r="J60" s="385" t="s">
        <v>289</v>
      </c>
      <c r="K60" s="335"/>
      <c r="L60" s="335"/>
      <c r="M60" s="385" t="s">
        <v>275</v>
      </c>
      <c r="N60" s="199"/>
      <c r="O60" s="199"/>
      <c r="P60" s="199"/>
      <c r="Q60" s="199"/>
      <c r="R60" s="199"/>
      <c r="S60" s="199"/>
      <c r="T60" s="199"/>
      <c r="U60" s="199"/>
      <c r="V60" s="199"/>
      <c r="W60" s="199"/>
      <c r="X60" s="199"/>
      <c r="Y60" s="199"/>
      <c r="Z60" s="199"/>
      <c r="AA60" s="199"/>
      <c r="AB60" s="199"/>
      <c r="AC60" s="199"/>
      <c r="AD60" s="199"/>
      <c r="AE60" s="199"/>
      <c r="AF60" s="199"/>
      <c r="AG60" s="199"/>
      <c r="AH60" s="199"/>
      <c r="AI60" s="48"/>
      <c r="AJ60" s="48"/>
      <c r="AK60" s="48"/>
      <c r="AL60" s="48"/>
      <c r="AM60" s="48"/>
      <c r="AN60" s="48"/>
      <c r="AO60" s="48"/>
      <c r="AP60" s="48"/>
      <c r="AQ60" s="48"/>
      <c r="AR60" s="48"/>
      <c r="AS60" s="48"/>
      <c r="AT60" s="48"/>
      <c r="AU60" s="48"/>
      <c r="AV60" s="48"/>
      <c r="AW60" s="48"/>
      <c r="AX60" s="48"/>
      <c r="AY60" s="48"/>
      <c r="AZ60" s="48"/>
      <c r="BA60" s="48"/>
      <c r="BB60" s="48"/>
      <c r="BC60" s="48"/>
      <c r="BD60" s="48"/>
    </row>
    <row r="61" spans="1:56" x14ac:dyDescent="0.25">
      <c r="A61" s="437" t="str">
        <f>hth_ma&amp;" "&amp;13</f>
        <v>Martial Arts 13</v>
      </c>
      <c r="B61" s="335">
        <v>6</v>
      </c>
      <c r="C61" s="335">
        <v>1</v>
      </c>
      <c r="D61" s="335">
        <v>2</v>
      </c>
      <c r="E61" s="335">
        <v>5</v>
      </c>
      <c r="F61" s="335">
        <v>5</v>
      </c>
      <c r="G61" s="335">
        <v>3</v>
      </c>
      <c r="H61" s="335">
        <v>3</v>
      </c>
      <c r="I61" s="335">
        <v>4</v>
      </c>
      <c r="J61" s="385" t="s">
        <v>289</v>
      </c>
      <c r="K61" s="385" t="s">
        <v>289</v>
      </c>
      <c r="L61" s="335"/>
      <c r="M61" s="385" t="s">
        <v>275</v>
      </c>
      <c r="N61" s="199"/>
      <c r="O61" s="199"/>
      <c r="P61" s="199"/>
      <c r="Q61" s="199"/>
      <c r="R61" s="199"/>
      <c r="S61" s="199"/>
      <c r="T61" s="199"/>
      <c r="U61" s="199"/>
      <c r="V61" s="199"/>
      <c r="W61" s="199"/>
      <c r="X61" s="199"/>
      <c r="Y61" s="199"/>
      <c r="Z61" s="199"/>
      <c r="AA61" s="199"/>
      <c r="AB61" s="199"/>
      <c r="AC61" s="199"/>
      <c r="AD61" s="199"/>
      <c r="AE61" s="199"/>
      <c r="AF61" s="199"/>
      <c r="AG61" s="199"/>
      <c r="AH61" s="199"/>
      <c r="AI61" s="48"/>
      <c r="AJ61" s="48"/>
      <c r="AK61" s="48"/>
      <c r="AL61" s="48"/>
      <c r="AM61" s="48"/>
      <c r="AN61" s="48"/>
      <c r="AO61" s="48"/>
      <c r="AP61" s="48"/>
      <c r="AQ61" s="48"/>
      <c r="AR61" s="48"/>
      <c r="AS61" s="48"/>
      <c r="AT61" s="48"/>
      <c r="AU61" s="48"/>
      <c r="AV61" s="48"/>
      <c r="AW61" s="48"/>
      <c r="AX61" s="48"/>
      <c r="AY61" s="48"/>
      <c r="AZ61" s="48"/>
      <c r="BA61" s="48"/>
      <c r="BB61" s="48"/>
      <c r="BC61" s="48"/>
      <c r="BD61" s="48"/>
    </row>
    <row r="62" spans="1:56" x14ac:dyDescent="0.25">
      <c r="A62" s="437" t="str">
        <f>hth_ma&amp;" "&amp;14</f>
        <v>Martial Arts 14</v>
      </c>
      <c r="B62" s="335">
        <v>7</v>
      </c>
      <c r="C62" s="335">
        <v>1</v>
      </c>
      <c r="D62" s="335">
        <v>2</v>
      </c>
      <c r="E62" s="335">
        <v>5</v>
      </c>
      <c r="F62" s="335">
        <v>5</v>
      </c>
      <c r="G62" s="335">
        <v>3</v>
      </c>
      <c r="H62" s="335">
        <v>3</v>
      </c>
      <c r="I62" s="335">
        <v>4</v>
      </c>
      <c r="J62" s="385" t="s">
        <v>289</v>
      </c>
      <c r="K62" s="385" t="s">
        <v>289</v>
      </c>
      <c r="L62" s="335"/>
      <c r="M62" s="385" t="s">
        <v>275</v>
      </c>
      <c r="N62" s="199"/>
      <c r="O62" s="199"/>
      <c r="P62" s="199"/>
      <c r="Q62" s="199"/>
      <c r="R62" s="199"/>
      <c r="S62" s="199"/>
      <c r="T62" s="199"/>
      <c r="U62" s="199"/>
      <c r="V62" s="199"/>
      <c r="W62" s="199"/>
      <c r="X62" s="199"/>
      <c r="Y62" s="199"/>
      <c r="Z62" s="199"/>
      <c r="AA62" s="199"/>
      <c r="AB62" s="199"/>
      <c r="AC62" s="199"/>
      <c r="AD62" s="199"/>
      <c r="AE62" s="199"/>
      <c r="AF62" s="199"/>
      <c r="AG62" s="199"/>
      <c r="AH62" s="199"/>
      <c r="AI62" s="48"/>
      <c r="AJ62" s="48"/>
      <c r="AK62" s="48"/>
      <c r="AL62" s="48"/>
      <c r="AM62" s="48"/>
      <c r="AN62" s="48"/>
      <c r="AO62" s="48"/>
      <c r="AP62" s="48"/>
      <c r="AQ62" s="48"/>
      <c r="AR62" s="48"/>
      <c r="AS62" s="48"/>
      <c r="AT62" s="48"/>
      <c r="AU62" s="48"/>
      <c r="AV62" s="48"/>
      <c r="AW62" s="48"/>
      <c r="AX62" s="48"/>
      <c r="AY62" s="48"/>
      <c r="AZ62" s="48"/>
      <c r="BA62" s="48"/>
      <c r="BB62" s="48"/>
      <c r="BC62" s="48"/>
      <c r="BD62" s="48"/>
    </row>
    <row r="63" spans="1:56" x14ac:dyDescent="0.25">
      <c r="A63" s="437" t="str">
        <f>hth_ma&amp;" "&amp;15</f>
        <v>Martial Arts 15</v>
      </c>
      <c r="B63" s="335">
        <v>7</v>
      </c>
      <c r="C63" s="335">
        <v>1</v>
      </c>
      <c r="D63" s="335">
        <v>2</v>
      </c>
      <c r="E63" s="335">
        <v>5</v>
      </c>
      <c r="F63" s="335">
        <v>5</v>
      </c>
      <c r="G63" s="335">
        <v>3</v>
      </c>
      <c r="H63" s="335">
        <v>3</v>
      </c>
      <c r="I63" s="335">
        <v>4</v>
      </c>
      <c r="J63" s="385" t="s">
        <v>289</v>
      </c>
      <c r="K63" s="385" t="s">
        <v>289</v>
      </c>
      <c r="L63" s="335">
        <v>20</v>
      </c>
      <c r="M63" s="385" t="s">
        <v>275</v>
      </c>
      <c r="N63" s="199"/>
      <c r="O63" s="199"/>
      <c r="P63" s="199"/>
      <c r="Q63" s="199"/>
      <c r="R63" s="199"/>
      <c r="S63" s="199"/>
      <c r="T63" s="199"/>
      <c r="U63" s="199"/>
      <c r="V63" s="199"/>
      <c r="W63" s="199"/>
      <c r="X63" s="199"/>
      <c r="Y63" s="199"/>
      <c r="Z63" s="199"/>
      <c r="AA63" s="199"/>
      <c r="AB63" s="199"/>
      <c r="AC63" s="199"/>
      <c r="AD63" s="199"/>
      <c r="AE63" s="199"/>
      <c r="AF63" s="199"/>
      <c r="AG63" s="199"/>
      <c r="AH63" s="199"/>
      <c r="AI63" s="48"/>
      <c r="AJ63" s="48"/>
      <c r="AK63" s="48"/>
      <c r="AL63" s="48"/>
      <c r="AM63" s="48"/>
      <c r="AN63" s="48"/>
      <c r="AO63" s="48"/>
      <c r="AP63" s="48"/>
      <c r="AQ63" s="48"/>
      <c r="AR63" s="48"/>
      <c r="AS63" s="48"/>
      <c r="AT63" s="48"/>
      <c r="AU63" s="48"/>
      <c r="AV63" s="48"/>
      <c r="AW63" s="48"/>
      <c r="AX63" s="48"/>
      <c r="AY63" s="48"/>
      <c r="AZ63" s="48"/>
      <c r="BA63" s="48"/>
      <c r="BB63" s="48"/>
      <c r="BC63" s="48"/>
      <c r="BD63" s="48"/>
    </row>
    <row r="64" spans="1:56" x14ac:dyDescent="0.25">
      <c r="A64" s="437" t="str">
        <f>hth_assassin&amp;" "&amp;1</f>
        <v>Assassin 1</v>
      </c>
      <c r="B64" s="335">
        <v>3</v>
      </c>
      <c r="C64" s="335"/>
      <c r="D64" s="335">
        <v>2</v>
      </c>
      <c r="E64" s="335"/>
      <c r="F64" s="335"/>
      <c r="G64" s="335"/>
      <c r="H64" s="335"/>
      <c r="I64" s="335"/>
      <c r="J64" s="335">
        <v>20</v>
      </c>
      <c r="K64" s="335"/>
      <c r="L64" s="335"/>
      <c r="M64" s="385"/>
      <c r="N64" s="199"/>
      <c r="O64" s="199"/>
      <c r="P64" s="199"/>
      <c r="Q64" s="199"/>
      <c r="R64" s="199"/>
      <c r="S64" s="199"/>
      <c r="T64" s="199"/>
      <c r="U64" s="199"/>
      <c r="V64" s="199"/>
      <c r="W64" s="199"/>
      <c r="X64" s="199"/>
      <c r="Y64" s="199"/>
      <c r="Z64" s="199"/>
      <c r="AA64" s="199"/>
      <c r="AB64" s="199"/>
      <c r="AC64" s="199"/>
      <c r="AD64" s="199"/>
      <c r="AE64" s="199"/>
      <c r="AF64" s="199"/>
      <c r="AG64" s="199"/>
      <c r="AH64" s="199"/>
      <c r="AI64" s="48"/>
      <c r="AJ64" s="48"/>
      <c r="AK64" s="48"/>
      <c r="AL64" s="48"/>
      <c r="AM64" s="48"/>
      <c r="AN64" s="48"/>
      <c r="AO64" s="48"/>
      <c r="AP64" s="48"/>
      <c r="AQ64" s="48"/>
      <c r="AR64" s="48"/>
      <c r="AS64" s="48"/>
      <c r="AT64" s="48"/>
      <c r="AU64" s="48"/>
      <c r="AV64" s="48"/>
      <c r="AW64" s="48"/>
      <c r="AX64" s="48"/>
      <c r="AY64" s="48"/>
      <c r="AZ64" s="48"/>
      <c r="BA64" s="48"/>
      <c r="BB64" s="48"/>
      <c r="BC64" s="48"/>
      <c r="BD64" s="48"/>
    </row>
    <row r="65" spans="1:56" x14ac:dyDescent="0.25">
      <c r="A65" s="437" t="str">
        <f>hth_assassin&amp;" "&amp;2</f>
        <v>Assassin 2</v>
      </c>
      <c r="B65" s="335">
        <v>5</v>
      </c>
      <c r="C65" s="335"/>
      <c r="D65" s="335">
        <v>2</v>
      </c>
      <c r="E65" s="335"/>
      <c r="F65" s="335"/>
      <c r="G65" s="335"/>
      <c r="H65" s="335"/>
      <c r="I65" s="335"/>
      <c r="J65" s="335">
        <v>20</v>
      </c>
      <c r="K65" s="335"/>
      <c r="L65" s="335"/>
      <c r="M65" s="385"/>
      <c r="N65" s="199"/>
      <c r="O65" s="199"/>
      <c r="P65" s="199"/>
      <c r="Q65" s="199"/>
      <c r="R65" s="199"/>
      <c r="S65" s="199"/>
      <c r="T65" s="199"/>
      <c r="U65" s="199"/>
      <c r="V65" s="199"/>
      <c r="W65" s="199"/>
      <c r="X65" s="199"/>
      <c r="Y65" s="199"/>
      <c r="Z65" s="199"/>
      <c r="AA65" s="199"/>
      <c r="AB65" s="199"/>
      <c r="AC65" s="199"/>
      <c r="AD65" s="199"/>
      <c r="AE65" s="199"/>
      <c r="AF65" s="199"/>
      <c r="AG65" s="199"/>
      <c r="AH65" s="199"/>
      <c r="AI65" s="48"/>
      <c r="AJ65" s="48"/>
      <c r="AK65" s="48"/>
      <c r="AL65" s="48"/>
      <c r="AM65" s="48"/>
      <c r="AN65" s="48"/>
      <c r="AO65" s="48"/>
      <c r="AP65" s="48"/>
      <c r="AQ65" s="48"/>
      <c r="AR65" s="48"/>
      <c r="AS65" s="48"/>
      <c r="AT65" s="48"/>
      <c r="AU65" s="48"/>
      <c r="AV65" s="48"/>
      <c r="AW65" s="48"/>
      <c r="AX65" s="48"/>
      <c r="AY65" s="48"/>
      <c r="AZ65" s="48"/>
      <c r="BA65" s="48"/>
      <c r="BB65" s="48"/>
      <c r="BC65" s="48"/>
      <c r="BD65" s="48"/>
    </row>
    <row r="66" spans="1:56" x14ac:dyDescent="0.25">
      <c r="A66" s="437" t="str">
        <f>hth_assassin&amp;" "&amp;3</f>
        <v>Assassin 3</v>
      </c>
      <c r="B66" s="335">
        <v>5</v>
      </c>
      <c r="C66" s="335"/>
      <c r="D66" s="335">
        <v>2</v>
      </c>
      <c r="E66" s="335"/>
      <c r="F66" s="335"/>
      <c r="G66" s="335">
        <v>3</v>
      </c>
      <c r="H66" s="335">
        <v>3</v>
      </c>
      <c r="I66" s="335"/>
      <c r="J66" s="335">
        <v>20</v>
      </c>
      <c r="K66" s="335"/>
      <c r="L66" s="335"/>
      <c r="M66" s="385"/>
      <c r="N66" s="199"/>
      <c r="O66" s="199"/>
      <c r="P66" s="199"/>
      <c r="Q66" s="199"/>
      <c r="R66" s="199"/>
      <c r="S66" s="199"/>
      <c r="T66" s="199"/>
      <c r="U66" s="199"/>
      <c r="V66" s="199"/>
      <c r="W66" s="199"/>
      <c r="X66" s="199"/>
      <c r="Y66" s="199"/>
      <c r="Z66" s="199"/>
      <c r="AA66" s="199"/>
      <c r="AB66" s="199"/>
      <c r="AC66" s="199"/>
      <c r="AD66" s="199"/>
      <c r="AE66" s="199"/>
      <c r="AF66" s="199"/>
      <c r="AG66" s="199"/>
      <c r="AH66" s="199"/>
      <c r="AI66" s="48"/>
      <c r="AJ66" s="48"/>
      <c r="AK66" s="48"/>
      <c r="AL66" s="48"/>
      <c r="AM66" s="48"/>
      <c r="AN66" s="48"/>
      <c r="AO66" s="48"/>
      <c r="AP66" s="48"/>
      <c r="AQ66" s="48"/>
      <c r="AR66" s="48"/>
      <c r="AS66" s="48"/>
      <c r="AT66" s="48"/>
      <c r="AU66" s="48"/>
      <c r="AV66" s="48"/>
      <c r="AW66" s="48"/>
      <c r="AX66" s="48"/>
      <c r="AY66" s="48"/>
      <c r="AZ66" s="48"/>
      <c r="BA66" s="48"/>
      <c r="BB66" s="48"/>
      <c r="BC66" s="48"/>
      <c r="BD66" s="48"/>
    </row>
    <row r="67" spans="1:56" x14ac:dyDescent="0.25">
      <c r="A67" s="437" t="str">
        <f>hth_assassin&amp;" "&amp;4</f>
        <v>Assassin 4</v>
      </c>
      <c r="B67" s="335">
        <v>5</v>
      </c>
      <c r="C67" s="335"/>
      <c r="D67" s="335">
        <v>2</v>
      </c>
      <c r="E67" s="335"/>
      <c r="F67" s="335"/>
      <c r="G67" s="335">
        <v>3</v>
      </c>
      <c r="H67" s="335">
        <v>3</v>
      </c>
      <c r="I67" s="335">
        <v>4</v>
      </c>
      <c r="J67" s="335">
        <v>20</v>
      </c>
      <c r="K67" s="335"/>
      <c r="L67" s="335"/>
      <c r="M67" s="385"/>
      <c r="N67" s="199"/>
      <c r="O67" s="199"/>
      <c r="P67" s="199"/>
      <c r="Q67" s="199"/>
      <c r="R67" s="199"/>
      <c r="S67" s="199"/>
      <c r="T67" s="199"/>
      <c r="U67" s="199"/>
      <c r="V67" s="199"/>
      <c r="W67" s="199"/>
      <c r="X67" s="199"/>
      <c r="Y67" s="199"/>
      <c r="Z67" s="199"/>
      <c r="AA67" s="199"/>
      <c r="AB67" s="199"/>
      <c r="AC67" s="199"/>
      <c r="AD67" s="199"/>
      <c r="AE67" s="199"/>
      <c r="AF67" s="199"/>
      <c r="AG67" s="199"/>
      <c r="AH67" s="199"/>
      <c r="AI67" s="48"/>
      <c r="AJ67" s="48"/>
      <c r="AK67" s="48"/>
      <c r="AL67" s="48"/>
      <c r="AM67" s="48"/>
      <c r="AN67" s="48"/>
      <c r="AO67" s="48"/>
      <c r="AP67" s="48"/>
      <c r="AQ67" s="48"/>
      <c r="AR67" s="48"/>
      <c r="AS67" s="48"/>
      <c r="AT67" s="48"/>
      <c r="AU67" s="48"/>
      <c r="AV67" s="48"/>
      <c r="AW67" s="48"/>
      <c r="AX67" s="48"/>
      <c r="AY67" s="48"/>
      <c r="AZ67" s="48"/>
      <c r="BA67" s="48"/>
      <c r="BB67" s="48"/>
      <c r="BC67" s="48"/>
      <c r="BD67" s="48"/>
    </row>
    <row r="68" spans="1:56" x14ac:dyDescent="0.25">
      <c r="A68" s="437" t="str">
        <f>hth_assassin&amp;" "&amp;5</f>
        <v>Assassin 5</v>
      </c>
      <c r="B68" s="335">
        <v>6</v>
      </c>
      <c r="C68" s="335"/>
      <c r="D68" s="335">
        <v>2</v>
      </c>
      <c r="E68" s="335"/>
      <c r="F68" s="335"/>
      <c r="G68" s="335">
        <v>3</v>
      </c>
      <c r="H68" s="335">
        <v>3</v>
      </c>
      <c r="I68" s="335">
        <v>4</v>
      </c>
      <c r="J68" s="335">
        <v>20</v>
      </c>
      <c r="K68" s="335"/>
      <c r="L68" s="335"/>
      <c r="M68" s="385"/>
      <c r="N68" s="199"/>
      <c r="O68" s="199"/>
      <c r="P68" s="199"/>
      <c r="Q68" s="199"/>
      <c r="R68" s="199"/>
      <c r="S68" s="199"/>
      <c r="T68" s="199"/>
      <c r="U68" s="199"/>
      <c r="V68" s="199"/>
      <c r="W68" s="199"/>
      <c r="X68" s="199"/>
      <c r="Y68" s="199"/>
      <c r="Z68" s="199"/>
      <c r="AA68" s="199"/>
      <c r="AB68" s="199"/>
      <c r="AC68" s="199"/>
      <c r="AD68" s="199"/>
      <c r="AE68" s="199"/>
      <c r="AF68" s="199"/>
      <c r="AG68" s="199"/>
      <c r="AH68" s="199"/>
      <c r="AI68" s="48"/>
      <c r="AJ68" s="48"/>
      <c r="AK68" s="48"/>
      <c r="AL68" s="48"/>
      <c r="AM68" s="48"/>
      <c r="AN68" s="48"/>
      <c r="AO68" s="48"/>
      <c r="AP68" s="48"/>
      <c r="AQ68" s="48"/>
      <c r="AR68" s="48"/>
      <c r="AS68" s="48"/>
      <c r="AT68" s="48"/>
      <c r="AU68" s="48"/>
      <c r="AV68" s="48"/>
      <c r="AW68" s="48"/>
      <c r="AX68" s="48"/>
      <c r="AY68" s="48"/>
      <c r="AZ68" s="48"/>
      <c r="BA68" s="48"/>
      <c r="BB68" s="48"/>
      <c r="BC68" s="48"/>
      <c r="BD68" s="48"/>
    </row>
    <row r="69" spans="1:56" x14ac:dyDescent="0.25">
      <c r="A69" s="437" t="str">
        <f>hth_assassin&amp;" "&amp;6</f>
        <v>Assassin 6</v>
      </c>
      <c r="B69" s="335">
        <v>6</v>
      </c>
      <c r="C69" s="335"/>
      <c r="D69" s="335">
        <v>2</v>
      </c>
      <c r="E69" s="335">
        <v>3</v>
      </c>
      <c r="F69" s="335">
        <v>3</v>
      </c>
      <c r="G69" s="335">
        <v>3</v>
      </c>
      <c r="H69" s="335">
        <v>3</v>
      </c>
      <c r="I69" s="335">
        <v>4</v>
      </c>
      <c r="J69" s="335">
        <v>20</v>
      </c>
      <c r="K69" s="335"/>
      <c r="L69" s="335"/>
      <c r="M69" s="385"/>
      <c r="N69" s="199"/>
      <c r="O69" s="199"/>
      <c r="P69" s="199"/>
      <c r="Q69" s="199"/>
      <c r="R69" s="199"/>
      <c r="S69" s="199"/>
      <c r="T69" s="199"/>
      <c r="U69" s="199"/>
      <c r="V69" s="199"/>
      <c r="W69" s="199"/>
      <c r="X69" s="199"/>
      <c r="Y69" s="199"/>
      <c r="Z69" s="199"/>
      <c r="AA69" s="199"/>
      <c r="AB69" s="199"/>
      <c r="AC69" s="199"/>
      <c r="AD69" s="199"/>
      <c r="AE69" s="199"/>
      <c r="AF69" s="199"/>
      <c r="AG69" s="199"/>
      <c r="AH69" s="199"/>
      <c r="AI69" s="48"/>
      <c r="AJ69" s="48"/>
      <c r="AK69" s="48"/>
      <c r="AL69" s="48"/>
      <c r="AM69" s="48"/>
      <c r="AN69" s="48"/>
      <c r="AO69" s="48"/>
      <c r="AP69" s="48"/>
      <c r="AQ69" s="48"/>
      <c r="AR69" s="48"/>
      <c r="AS69" s="48"/>
      <c r="AT69" s="48"/>
      <c r="AU69" s="48"/>
      <c r="AV69" s="48"/>
      <c r="AW69" s="48"/>
      <c r="AX69" s="48"/>
      <c r="AY69" s="48"/>
      <c r="AZ69" s="48"/>
      <c r="BA69" s="48"/>
      <c r="BB69" s="48"/>
      <c r="BC69" s="48"/>
      <c r="BD69" s="48"/>
    </row>
    <row r="70" spans="1:56" x14ac:dyDescent="0.25">
      <c r="A70" s="437" t="str">
        <f>hth_assassin&amp;" "&amp;7</f>
        <v>Assassin 7</v>
      </c>
      <c r="B70" s="335">
        <v>6</v>
      </c>
      <c r="C70" s="335"/>
      <c r="D70" s="335">
        <v>2</v>
      </c>
      <c r="E70" s="335">
        <v>3</v>
      </c>
      <c r="F70" s="335">
        <v>3</v>
      </c>
      <c r="G70" s="335">
        <v>3</v>
      </c>
      <c r="H70" s="335">
        <v>3</v>
      </c>
      <c r="I70" s="335">
        <v>4</v>
      </c>
      <c r="J70" s="335">
        <v>20</v>
      </c>
      <c r="K70" s="385" t="s">
        <v>297</v>
      </c>
      <c r="L70" s="335"/>
      <c r="M70" s="385"/>
      <c r="N70" s="199"/>
      <c r="O70" s="199"/>
      <c r="P70" s="199"/>
      <c r="Q70" s="199"/>
      <c r="R70" s="199"/>
      <c r="S70" s="199"/>
      <c r="T70" s="199"/>
      <c r="U70" s="199"/>
      <c r="V70" s="199"/>
      <c r="W70" s="199"/>
      <c r="X70" s="199"/>
      <c r="Y70" s="199"/>
      <c r="Z70" s="199"/>
      <c r="AA70" s="199"/>
      <c r="AB70" s="199"/>
      <c r="AC70" s="199"/>
      <c r="AD70" s="199"/>
      <c r="AE70" s="199"/>
      <c r="AF70" s="199"/>
      <c r="AG70" s="199"/>
      <c r="AH70" s="199"/>
      <c r="AI70" s="48"/>
      <c r="AJ70" s="48"/>
      <c r="AK70" s="48"/>
      <c r="AL70" s="48"/>
      <c r="AM70" s="48"/>
      <c r="AN70" s="48"/>
      <c r="AO70" s="48"/>
      <c r="AP70" s="48"/>
      <c r="AQ70" s="48"/>
      <c r="AR70" s="48"/>
      <c r="AS70" s="48"/>
      <c r="AT70" s="48"/>
      <c r="AU70" s="48"/>
      <c r="AV70" s="48"/>
      <c r="AW70" s="48"/>
      <c r="AX70" s="48"/>
      <c r="AY70" s="48"/>
      <c r="AZ70" s="48"/>
      <c r="BA70" s="48"/>
      <c r="BB70" s="48"/>
      <c r="BC70" s="48"/>
      <c r="BD70" s="48"/>
    </row>
    <row r="71" spans="1:56" x14ac:dyDescent="0.25">
      <c r="A71" s="437" t="str">
        <f>hth_assassin&amp;" "&amp;8</f>
        <v>Assassin 8</v>
      </c>
      <c r="B71" s="335">
        <v>7</v>
      </c>
      <c r="C71" s="335"/>
      <c r="D71" s="335">
        <v>2</v>
      </c>
      <c r="E71" s="335">
        <v>3</v>
      </c>
      <c r="F71" s="335">
        <v>3</v>
      </c>
      <c r="G71" s="335">
        <v>3</v>
      </c>
      <c r="H71" s="335">
        <v>3</v>
      </c>
      <c r="I71" s="335">
        <v>4</v>
      </c>
      <c r="J71" s="335">
        <v>20</v>
      </c>
      <c r="K71" s="385" t="s">
        <v>297</v>
      </c>
      <c r="L71" s="335"/>
      <c r="M71" s="385"/>
      <c r="N71" s="199"/>
      <c r="O71" s="199"/>
      <c r="P71" s="199"/>
      <c r="Q71" s="199"/>
      <c r="R71" s="199"/>
      <c r="S71" s="199"/>
      <c r="T71" s="199"/>
      <c r="U71" s="199"/>
      <c r="V71" s="199"/>
      <c r="W71" s="199"/>
      <c r="X71" s="199"/>
      <c r="Y71" s="199"/>
      <c r="Z71" s="199"/>
      <c r="AA71" s="199"/>
      <c r="AB71" s="199"/>
      <c r="AC71" s="199"/>
      <c r="AD71" s="199"/>
      <c r="AE71" s="199"/>
      <c r="AF71" s="199"/>
      <c r="AG71" s="199"/>
      <c r="AH71" s="199"/>
      <c r="AI71" s="48"/>
      <c r="AJ71" s="48"/>
      <c r="AK71" s="48"/>
      <c r="AL71" s="48"/>
      <c r="AM71" s="48"/>
      <c r="AN71" s="48"/>
      <c r="AO71" s="48"/>
      <c r="AP71" s="48"/>
      <c r="AQ71" s="48"/>
      <c r="AR71" s="48"/>
      <c r="AS71" s="48"/>
      <c r="AT71" s="48"/>
      <c r="AU71" s="48"/>
      <c r="AV71" s="48"/>
      <c r="AW71" s="48"/>
      <c r="AX71" s="48"/>
      <c r="AY71" s="48"/>
      <c r="AZ71" s="48"/>
      <c r="BA71" s="48"/>
      <c r="BB71" s="48"/>
      <c r="BC71" s="48"/>
      <c r="BD71" s="48"/>
    </row>
    <row r="72" spans="1:56" x14ac:dyDescent="0.25">
      <c r="A72" s="437" t="str">
        <f>hth_assassin&amp;" "&amp;9</f>
        <v>Assassin 9</v>
      </c>
      <c r="B72" s="335">
        <v>7</v>
      </c>
      <c r="C72" s="335"/>
      <c r="D72" s="335">
        <v>2</v>
      </c>
      <c r="E72" s="335">
        <v>3</v>
      </c>
      <c r="F72" s="335">
        <v>3</v>
      </c>
      <c r="G72" s="335">
        <v>3</v>
      </c>
      <c r="H72" s="335">
        <v>3</v>
      </c>
      <c r="I72" s="335">
        <v>4</v>
      </c>
      <c r="J72" s="335">
        <v>20</v>
      </c>
      <c r="K72" s="385" t="s">
        <v>297</v>
      </c>
      <c r="L72" s="335"/>
      <c r="M72" s="385"/>
      <c r="N72" s="199"/>
      <c r="O72" s="199"/>
      <c r="P72" s="199"/>
      <c r="Q72" s="199"/>
      <c r="R72" s="199"/>
      <c r="S72" s="199"/>
      <c r="T72" s="199"/>
      <c r="U72" s="199"/>
      <c r="V72" s="199"/>
      <c r="W72" s="199"/>
      <c r="X72" s="199"/>
      <c r="Y72" s="199"/>
      <c r="Z72" s="199"/>
      <c r="AA72" s="199"/>
      <c r="AB72" s="199"/>
      <c r="AC72" s="199"/>
      <c r="AD72" s="199"/>
      <c r="AE72" s="199"/>
      <c r="AF72" s="199"/>
      <c r="AG72" s="199"/>
      <c r="AH72" s="199"/>
      <c r="AI72" s="48"/>
      <c r="AJ72" s="48"/>
      <c r="AK72" s="48"/>
      <c r="AL72" s="48"/>
      <c r="AM72" s="48"/>
      <c r="AN72" s="48"/>
      <c r="AO72" s="48"/>
      <c r="AP72" s="48"/>
      <c r="AQ72" s="48"/>
      <c r="AR72" s="48"/>
      <c r="AS72" s="48"/>
      <c r="AT72" s="48"/>
      <c r="AU72" s="48"/>
      <c r="AV72" s="48"/>
      <c r="AW72" s="48"/>
      <c r="AX72" s="48"/>
      <c r="AY72" s="48"/>
      <c r="AZ72" s="48"/>
      <c r="BA72" s="48"/>
      <c r="BB72" s="48"/>
      <c r="BC72" s="48"/>
      <c r="BD72" s="48"/>
    </row>
    <row r="73" spans="1:56" x14ac:dyDescent="0.25">
      <c r="A73" s="437" t="str">
        <f>hth_assassin&amp;" "&amp;10</f>
        <v>Assassin 10</v>
      </c>
      <c r="B73" s="335">
        <v>7</v>
      </c>
      <c r="C73" s="335"/>
      <c r="D73" s="335">
        <v>2</v>
      </c>
      <c r="E73" s="335">
        <v>3</v>
      </c>
      <c r="F73" s="335">
        <v>3</v>
      </c>
      <c r="G73" s="335">
        <v>3</v>
      </c>
      <c r="H73" s="335">
        <v>3</v>
      </c>
      <c r="I73" s="335">
        <v>4</v>
      </c>
      <c r="J73" s="385" t="s">
        <v>275</v>
      </c>
      <c r="K73" s="385" t="s">
        <v>297</v>
      </c>
      <c r="L73" s="335"/>
      <c r="M73" s="385"/>
      <c r="N73" s="199"/>
      <c r="O73" s="199"/>
      <c r="P73" s="199"/>
      <c r="Q73" s="199"/>
      <c r="R73" s="199"/>
      <c r="S73" s="199"/>
      <c r="T73" s="199"/>
      <c r="U73" s="199"/>
      <c r="V73" s="199"/>
      <c r="W73" s="199"/>
      <c r="X73" s="199"/>
      <c r="Y73" s="199"/>
      <c r="Z73" s="199"/>
      <c r="AA73" s="199"/>
      <c r="AB73" s="199"/>
      <c r="AC73" s="199"/>
      <c r="AD73" s="199"/>
      <c r="AE73" s="199"/>
      <c r="AF73" s="199"/>
      <c r="AG73" s="199"/>
      <c r="AH73" s="199"/>
      <c r="AI73" s="48"/>
      <c r="AJ73" s="48"/>
      <c r="AK73" s="48"/>
      <c r="AL73" s="48"/>
      <c r="AM73" s="48"/>
      <c r="AN73" s="48"/>
      <c r="AO73" s="48"/>
      <c r="AP73" s="48"/>
      <c r="AQ73" s="48"/>
      <c r="AR73" s="48"/>
      <c r="AS73" s="48"/>
      <c r="AT73" s="48"/>
      <c r="AU73" s="48"/>
      <c r="AV73" s="48"/>
      <c r="AW73" s="48"/>
      <c r="AX73" s="48"/>
      <c r="AY73" s="48"/>
      <c r="AZ73" s="48"/>
      <c r="BA73" s="48"/>
      <c r="BB73" s="48"/>
      <c r="BC73" s="48"/>
      <c r="BD73" s="48"/>
    </row>
    <row r="74" spans="1:56" x14ac:dyDescent="0.25">
      <c r="A74" s="437" t="str">
        <f>hth_assassin&amp;" "&amp;11</f>
        <v>Assassin 11</v>
      </c>
      <c r="B74" s="335">
        <v>7</v>
      </c>
      <c r="C74" s="335"/>
      <c r="D74" s="335">
        <v>4</v>
      </c>
      <c r="E74" s="335">
        <v>3</v>
      </c>
      <c r="F74" s="335">
        <v>3</v>
      </c>
      <c r="G74" s="335">
        <v>3</v>
      </c>
      <c r="H74" s="335">
        <v>3</v>
      </c>
      <c r="I74" s="335">
        <v>4</v>
      </c>
      <c r="J74" s="385" t="s">
        <v>275</v>
      </c>
      <c r="K74" s="385" t="s">
        <v>297</v>
      </c>
      <c r="L74" s="335"/>
      <c r="M74" s="385"/>
      <c r="N74" s="199"/>
      <c r="O74" s="199"/>
      <c r="P74" s="199"/>
      <c r="Q74" s="199"/>
      <c r="R74" s="199"/>
      <c r="S74" s="199"/>
      <c r="T74" s="199"/>
      <c r="U74" s="199"/>
      <c r="V74" s="199"/>
      <c r="W74" s="199"/>
      <c r="X74" s="199"/>
      <c r="Y74" s="199"/>
      <c r="Z74" s="199"/>
      <c r="AA74" s="199"/>
      <c r="AB74" s="199"/>
      <c r="AC74" s="199"/>
      <c r="AD74" s="199"/>
      <c r="AE74" s="199"/>
      <c r="AF74" s="199"/>
      <c r="AG74" s="199"/>
      <c r="AH74" s="199"/>
      <c r="AI74" s="48"/>
      <c r="AJ74" s="48"/>
      <c r="AK74" s="48"/>
      <c r="AL74" s="48"/>
      <c r="AM74" s="48"/>
      <c r="AN74" s="48"/>
      <c r="AO74" s="48"/>
      <c r="AP74" s="48"/>
      <c r="AQ74" s="48"/>
      <c r="AR74" s="48"/>
      <c r="AS74" s="48"/>
      <c r="AT74" s="48"/>
      <c r="AU74" s="48"/>
      <c r="AV74" s="48"/>
      <c r="AW74" s="48"/>
      <c r="AX74" s="48"/>
      <c r="AY74" s="48"/>
      <c r="AZ74" s="48"/>
      <c r="BA74" s="48"/>
      <c r="BB74" s="48"/>
      <c r="BC74" s="48"/>
      <c r="BD74" s="48"/>
    </row>
    <row r="75" spans="1:56" x14ac:dyDescent="0.25">
      <c r="A75" s="437" t="str">
        <f>hth_assassin&amp;" "&amp;12</f>
        <v>Assassin 12</v>
      </c>
      <c r="B75" s="335">
        <v>7</v>
      </c>
      <c r="C75" s="335"/>
      <c r="D75" s="335">
        <v>4</v>
      </c>
      <c r="E75" s="335">
        <v>3</v>
      </c>
      <c r="F75" s="335">
        <v>3</v>
      </c>
      <c r="G75" s="335">
        <v>3</v>
      </c>
      <c r="H75" s="335">
        <v>3</v>
      </c>
      <c r="I75" s="335">
        <v>4</v>
      </c>
      <c r="J75" s="385" t="s">
        <v>275</v>
      </c>
      <c r="K75" s="385" t="s">
        <v>297</v>
      </c>
      <c r="L75" s="335">
        <v>20</v>
      </c>
      <c r="M75" s="385"/>
      <c r="N75" s="199"/>
      <c r="O75" s="199"/>
      <c r="P75" s="199"/>
      <c r="Q75" s="199"/>
      <c r="R75" s="199"/>
      <c r="S75" s="199"/>
      <c r="T75" s="199"/>
      <c r="U75" s="199"/>
      <c r="V75" s="199"/>
      <c r="W75" s="199"/>
      <c r="X75" s="199"/>
      <c r="Y75" s="199"/>
      <c r="Z75" s="199"/>
      <c r="AA75" s="199"/>
      <c r="AB75" s="199"/>
      <c r="AC75" s="199"/>
      <c r="AD75" s="199"/>
      <c r="AE75" s="199"/>
      <c r="AF75" s="199"/>
      <c r="AG75" s="199"/>
      <c r="AH75" s="199"/>
      <c r="AI75" s="48"/>
      <c r="AJ75" s="48"/>
      <c r="AK75" s="48"/>
      <c r="AL75" s="48"/>
      <c r="AM75" s="48"/>
      <c r="AN75" s="48"/>
      <c r="AO75" s="48"/>
      <c r="AP75" s="48"/>
      <c r="AQ75" s="48"/>
      <c r="AR75" s="48"/>
      <c r="AS75" s="48"/>
      <c r="AT75" s="48"/>
      <c r="AU75" s="48"/>
      <c r="AV75" s="48"/>
      <c r="AW75" s="48"/>
      <c r="AX75" s="48"/>
      <c r="AY75" s="48"/>
      <c r="AZ75" s="48"/>
      <c r="BA75" s="48"/>
      <c r="BB75" s="48"/>
      <c r="BC75" s="48"/>
      <c r="BD75" s="48"/>
    </row>
    <row r="76" spans="1:56" x14ac:dyDescent="0.25">
      <c r="A76" s="437" t="str">
        <f>hth_assassin&amp;" "&amp;13</f>
        <v>Assassin 13</v>
      </c>
      <c r="B76" s="335">
        <v>8</v>
      </c>
      <c r="C76" s="335"/>
      <c r="D76" s="335">
        <v>4</v>
      </c>
      <c r="E76" s="335">
        <v>3</v>
      </c>
      <c r="F76" s="335">
        <v>3</v>
      </c>
      <c r="G76" s="335">
        <v>3</v>
      </c>
      <c r="H76" s="335">
        <v>3</v>
      </c>
      <c r="I76" s="335">
        <v>4</v>
      </c>
      <c r="J76" s="385" t="s">
        <v>275</v>
      </c>
      <c r="K76" s="385" t="s">
        <v>297</v>
      </c>
      <c r="L76" s="335">
        <v>20</v>
      </c>
      <c r="M76" s="385"/>
      <c r="N76" s="199"/>
      <c r="O76" s="199"/>
      <c r="P76" s="199"/>
      <c r="Q76" s="199"/>
      <c r="R76" s="199"/>
      <c r="S76" s="199"/>
      <c r="T76" s="199"/>
      <c r="U76" s="199"/>
      <c r="V76" s="199"/>
      <c r="W76" s="199"/>
      <c r="X76" s="199"/>
      <c r="Y76" s="199"/>
      <c r="Z76" s="199"/>
      <c r="AA76" s="199"/>
      <c r="AB76" s="199"/>
      <c r="AC76" s="199"/>
      <c r="AD76" s="199"/>
      <c r="AE76" s="199"/>
      <c r="AF76" s="199"/>
      <c r="AG76" s="199"/>
      <c r="AH76" s="199"/>
      <c r="AI76" s="48"/>
      <c r="AJ76" s="48"/>
      <c r="AK76" s="48"/>
      <c r="AL76" s="48"/>
      <c r="AM76" s="48"/>
      <c r="AN76" s="48"/>
      <c r="AO76" s="48"/>
      <c r="AP76" s="48"/>
      <c r="AQ76" s="48"/>
      <c r="AR76" s="48"/>
      <c r="AS76" s="48"/>
      <c r="AT76" s="48"/>
      <c r="AU76" s="48"/>
      <c r="AV76" s="48"/>
      <c r="AW76" s="48"/>
      <c r="AX76" s="48"/>
      <c r="AY76" s="48"/>
      <c r="AZ76" s="48"/>
      <c r="BA76" s="48"/>
      <c r="BB76" s="48"/>
      <c r="BC76" s="48"/>
      <c r="BD76" s="48"/>
    </row>
    <row r="77" spans="1:56" x14ac:dyDescent="0.25">
      <c r="A77" s="437" t="str">
        <f>hth_assassin&amp;" "&amp;14</f>
        <v>Assassin 14</v>
      </c>
      <c r="B77" s="335">
        <v>8</v>
      </c>
      <c r="C77" s="335"/>
      <c r="D77" s="335">
        <v>4</v>
      </c>
      <c r="E77" s="335">
        <v>3</v>
      </c>
      <c r="F77" s="335">
        <v>3</v>
      </c>
      <c r="G77" s="335">
        <v>3</v>
      </c>
      <c r="H77" s="335">
        <v>3</v>
      </c>
      <c r="I77" s="335">
        <v>6</v>
      </c>
      <c r="J77" s="385" t="s">
        <v>275</v>
      </c>
      <c r="K77" s="385" t="s">
        <v>297</v>
      </c>
      <c r="L77" s="335">
        <v>20</v>
      </c>
      <c r="M77" s="385"/>
      <c r="N77" s="199"/>
      <c r="O77" s="199"/>
      <c r="P77" s="199"/>
      <c r="Q77" s="199"/>
      <c r="R77" s="199"/>
      <c r="S77" s="199"/>
      <c r="T77" s="199"/>
      <c r="U77" s="199"/>
      <c r="V77" s="199"/>
      <c r="W77" s="199"/>
      <c r="X77" s="199"/>
      <c r="Y77" s="199"/>
      <c r="Z77" s="199"/>
      <c r="AA77" s="199"/>
      <c r="AB77" s="199"/>
      <c r="AC77" s="199"/>
      <c r="AD77" s="199"/>
      <c r="AE77" s="199"/>
      <c r="AF77" s="199"/>
      <c r="AG77" s="199"/>
      <c r="AH77" s="199"/>
      <c r="AI77" s="48"/>
      <c r="AJ77" s="48"/>
      <c r="AK77" s="48"/>
      <c r="AL77" s="48"/>
      <c r="AM77" s="48"/>
      <c r="AN77" s="48"/>
      <c r="AO77" s="48"/>
      <c r="AP77" s="48"/>
      <c r="AQ77" s="48"/>
      <c r="AR77" s="48"/>
      <c r="AS77" s="48"/>
      <c r="AT77" s="48"/>
      <c r="AU77" s="48"/>
      <c r="AV77" s="48"/>
      <c r="AW77" s="48"/>
      <c r="AX77" s="48"/>
      <c r="AY77" s="48"/>
      <c r="AZ77" s="48"/>
      <c r="BA77" s="48"/>
      <c r="BB77" s="48"/>
      <c r="BC77" s="48"/>
      <c r="BD77" s="48"/>
    </row>
    <row r="78" spans="1:56" x14ac:dyDescent="0.25">
      <c r="A78" s="437" t="str">
        <f>hth_assassin&amp;" "&amp;15</f>
        <v>Assassin 15</v>
      </c>
      <c r="B78" s="335">
        <v>8</v>
      </c>
      <c r="C78" s="335"/>
      <c r="D78" s="335">
        <v>6</v>
      </c>
      <c r="E78" s="335">
        <v>3</v>
      </c>
      <c r="F78" s="335">
        <v>3</v>
      </c>
      <c r="G78" s="335">
        <v>3</v>
      </c>
      <c r="H78" s="335">
        <v>3</v>
      </c>
      <c r="I78" s="335">
        <v>6</v>
      </c>
      <c r="J78" s="385" t="s">
        <v>275</v>
      </c>
      <c r="K78" s="385" t="s">
        <v>297</v>
      </c>
      <c r="L78" s="335">
        <v>20</v>
      </c>
      <c r="M78" s="385"/>
      <c r="N78" s="199"/>
      <c r="O78" s="199"/>
      <c r="P78" s="199"/>
      <c r="Q78" s="199"/>
      <c r="R78" s="199"/>
      <c r="S78" s="199"/>
      <c r="T78" s="199"/>
      <c r="U78" s="199"/>
      <c r="V78" s="199"/>
      <c r="W78" s="199"/>
      <c r="X78" s="199"/>
      <c r="Y78" s="199"/>
      <c r="Z78" s="199"/>
      <c r="AA78" s="199"/>
      <c r="AB78" s="199"/>
      <c r="AC78" s="199"/>
      <c r="AD78" s="199"/>
      <c r="AE78" s="199"/>
      <c r="AF78" s="199"/>
      <c r="AG78" s="199"/>
      <c r="AH78" s="199"/>
      <c r="AI78" s="48"/>
      <c r="AJ78" s="48"/>
      <c r="AK78" s="48"/>
      <c r="AL78" s="48"/>
      <c r="AM78" s="48"/>
      <c r="AN78" s="48"/>
      <c r="AO78" s="48"/>
      <c r="AP78" s="48"/>
      <c r="AQ78" s="48"/>
      <c r="AR78" s="48"/>
      <c r="AS78" s="48"/>
      <c r="AT78" s="48"/>
      <c r="AU78" s="48"/>
      <c r="AV78" s="48"/>
      <c r="AW78" s="48"/>
      <c r="AX78" s="48"/>
      <c r="AY78" s="48"/>
      <c r="AZ78" s="48"/>
      <c r="BA78" s="48"/>
      <c r="BB78" s="48"/>
      <c r="BC78" s="48"/>
      <c r="BD78" s="48"/>
    </row>
    <row r="79" spans="1:56" x14ac:dyDescent="0.25">
      <c r="A79" s="384" t="str">
        <f>hth_evasive&amp;" "&amp;1</f>
        <v>Evasive Combat 1</v>
      </c>
      <c r="B79" s="335">
        <v>4</v>
      </c>
      <c r="C79" s="335"/>
      <c r="D79" s="335"/>
      <c r="E79" s="335"/>
      <c r="F79" s="335"/>
      <c r="G79" s="335"/>
      <c r="H79" s="335"/>
      <c r="I79" s="335"/>
      <c r="J79" s="335"/>
      <c r="K79" s="335"/>
      <c r="L79" s="335"/>
      <c r="M79" s="385"/>
      <c r="N79" s="199"/>
      <c r="O79" s="199"/>
      <c r="P79" s="199"/>
      <c r="Q79" s="199"/>
      <c r="R79" s="199"/>
      <c r="S79" s="199"/>
      <c r="T79" s="199"/>
      <c r="U79" s="199"/>
      <c r="V79" s="199"/>
      <c r="W79" s="199"/>
      <c r="X79" s="199"/>
      <c r="Y79" s="199"/>
      <c r="Z79" s="199"/>
      <c r="AA79" s="199"/>
      <c r="AB79" s="199"/>
      <c r="AC79" s="199"/>
      <c r="AD79" s="199"/>
      <c r="AE79" s="199"/>
      <c r="AF79" s="199"/>
      <c r="AG79" s="199"/>
      <c r="AH79" s="199"/>
    </row>
    <row r="80" spans="1:56" x14ac:dyDescent="0.25">
      <c r="A80" s="384" t="str">
        <f>hth_evasive&amp;" "&amp;2</f>
        <v>Evasive Combat 2</v>
      </c>
      <c r="B80" s="335">
        <v>4</v>
      </c>
      <c r="C80" s="335">
        <v>1</v>
      </c>
      <c r="D80" s="335"/>
      <c r="E80" s="335"/>
      <c r="F80" s="335">
        <v>2</v>
      </c>
      <c r="G80" s="335"/>
      <c r="H80" s="335"/>
      <c r="I80" s="335"/>
      <c r="J80" s="335"/>
      <c r="K80" s="335"/>
      <c r="L80" s="335"/>
      <c r="M80" s="385"/>
      <c r="N80" s="199"/>
      <c r="O80" s="199"/>
      <c r="P80" s="199"/>
      <c r="Q80" s="199"/>
      <c r="R80" s="199"/>
      <c r="S80" s="199"/>
      <c r="T80" s="199"/>
      <c r="U80" s="199"/>
      <c r="V80" s="199"/>
      <c r="W80" s="199"/>
      <c r="X80" s="199"/>
      <c r="Y80" s="199"/>
      <c r="Z80" s="199"/>
      <c r="AA80" s="199"/>
      <c r="AB80" s="199"/>
      <c r="AC80" s="199"/>
      <c r="AD80" s="199"/>
      <c r="AE80" s="199"/>
      <c r="AF80" s="199"/>
      <c r="AG80" s="199"/>
      <c r="AH80" s="199"/>
    </row>
    <row r="81" spans="1:34" x14ac:dyDescent="0.25">
      <c r="A81" s="384" t="str">
        <f>hth_evasive&amp;" "&amp;3</f>
        <v>Evasive Combat 3</v>
      </c>
      <c r="B81" s="335">
        <v>4</v>
      </c>
      <c r="C81" s="335">
        <v>1</v>
      </c>
      <c r="D81" s="335"/>
      <c r="E81" s="335"/>
      <c r="F81" s="335">
        <v>2</v>
      </c>
      <c r="G81" s="335">
        <v>2</v>
      </c>
      <c r="H81" s="335"/>
      <c r="I81" s="335"/>
      <c r="J81" s="335"/>
      <c r="K81" s="335"/>
      <c r="L81" s="335"/>
      <c r="M81" s="385"/>
      <c r="N81" s="199"/>
      <c r="O81" s="199"/>
      <c r="P81" s="199"/>
      <c r="Q81" s="199"/>
      <c r="R81" s="199"/>
      <c r="S81" s="199"/>
      <c r="T81" s="199"/>
      <c r="U81" s="199"/>
      <c r="V81" s="199"/>
      <c r="W81" s="199"/>
      <c r="X81" s="199"/>
      <c r="Y81" s="199"/>
      <c r="Z81" s="199"/>
      <c r="AA81" s="199"/>
      <c r="AB81" s="199"/>
      <c r="AC81" s="199"/>
      <c r="AD81" s="199"/>
      <c r="AE81" s="199"/>
      <c r="AF81" s="199"/>
      <c r="AG81" s="199"/>
      <c r="AH81" s="199"/>
    </row>
    <row r="82" spans="1:34" x14ac:dyDescent="0.25">
      <c r="A82" s="384" t="str">
        <f>hth_evasive&amp;" "&amp;4</f>
        <v>Evasive Combat 4</v>
      </c>
      <c r="B82" s="335">
        <v>5</v>
      </c>
      <c r="C82" s="335">
        <v>1</v>
      </c>
      <c r="D82" s="335"/>
      <c r="E82" s="335"/>
      <c r="F82" s="335">
        <v>2</v>
      </c>
      <c r="G82" s="335">
        <v>2</v>
      </c>
      <c r="H82" s="335"/>
      <c r="I82" s="335"/>
      <c r="J82" s="335"/>
      <c r="K82" s="335"/>
      <c r="L82" s="335"/>
      <c r="M82" s="385"/>
      <c r="N82" s="199"/>
      <c r="O82" s="199"/>
      <c r="P82" s="199"/>
      <c r="Q82" s="199"/>
      <c r="R82" s="199"/>
      <c r="S82" s="199"/>
      <c r="T82" s="199"/>
      <c r="U82" s="199"/>
      <c r="V82" s="199"/>
      <c r="W82" s="199"/>
      <c r="X82" s="199"/>
      <c r="Y82" s="199"/>
      <c r="Z82" s="199"/>
      <c r="AA82" s="199"/>
      <c r="AB82" s="199"/>
      <c r="AC82" s="199"/>
      <c r="AD82" s="199"/>
      <c r="AE82" s="199"/>
      <c r="AF82" s="199"/>
      <c r="AG82" s="199"/>
      <c r="AH82" s="199"/>
    </row>
    <row r="83" spans="1:34" x14ac:dyDescent="0.25">
      <c r="A83" s="384" t="str">
        <f>hth_evasive&amp;" "&amp;5</f>
        <v>Evasive Combat 5</v>
      </c>
      <c r="B83" s="335">
        <v>5</v>
      </c>
      <c r="C83" s="335">
        <v>1</v>
      </c>
      <c r="D83" s="335"/>
      <c r="E83" s="335"/>
      <c r="F83" s="335">
        <v>2</v>
      </c>
      <c r="G83" s="335">
        <v>2</v>
      </c>
      <c r="H83" s="335"/>
      <c r="I83" s="335"/>
      <c r="J83" s="335"/>
      <c r="K83" s="335"/>
      <c r="L83" s="335"/>
      <c r="M83" s="385"/>
      <c r="N83" s="199"/>
      <c r="O83" s="199"/>
      <c r="P83" s="199"/>
      <c r="Q83" s="199"/>
      <c r="R83" s="199"/>
      <c r="S83" s="199"/>
      <c r="T83" s="199"/>
      <c r="U83" s="199"/>
      <c r="V83" s="199"/>
      <c r="W83" s="199"/>
      <c r="X83" s="199"/>
      <c r="Y83" s="199"/>
      <c r="Z83" s="199"/>
      <c r="AA83" s="199"/>
      <c r="AB83" s="199"/>
      <c r="AC83" s="199"/>
      <c r="AD83" s="199"/>
      <c r="AE83" s="199"/>
      <c r="AF83" s="199"/>
      <c r="AG83" s="199"/>
      <c r="AH83" s="199"/>
    </row>
    <row r="84" spans="1:34" x14ac:dyDescent="0.25">
      <c r="A84" s="384" t="str">
        <f>hth_evasive&amp;" "&amp;6</f>
        <v>Evasive Combat 6</v>
      </c>
      <c r="B84" s="335">
        <v>5</v>
      </c>
      <c r="C84" s="335">
        <v>1</v>
      </c>
      <c r="D84" s="335"/>
      <c r="E84" s="335"/>
      <c r="F84" s="335">
        <v>3</v>
      </c>
      <c r="G84" s="335">
        <v>3</v>
      </c>
      <c r="H84" s="335"/>
      <c r="I84" s="335"/>
      <c r="J84" s="335"/>
      <c r="K84" s="335"/>
      <c r="L84" s="335"/>
      <c r="M84" s="385"/>
      <c r="N84" s="199"/>
      <c r="O84" s="199"/>
      <c r="P84" s="199"/>
      <c r="Q84" s="199"/>
      <c r="R84" s="199"/>
      <c r="S84" s="199"/>
      <c r="T84" s="199"/>
      <c r="U84" s="199"/>
      <c r="V84" s="199"/>
      <c r="W84" s="199"/>
      <c r="X84" s="199"/>
      <c r="Y84" s="199"/>
      <c r="Z84" s="199"/>
      <c r="AA84" s="199"/>
      <c r="AB84" s="199"/>
      <c r="AC84" s="199"/>
      <c r="AD84" s="199"/>
      <c r="AE84" s="199"/>
      <c r="AF84" s="199"/>
      <c r="AG84" s="199"/>
      <c r="AH84" s="199"/>
    </row>
    <row r="85" spans="1:34" x14ac:dyDescent="0.25">
      <c r="A85" s="384" t="str">
        <f>hth_evasive&amp;" "&amp;7</f>
        <v>Evasive Combat 7</v>
      </c>
      <c r="B85" s="335">
        <v>5</v>
      </c>
      <c r="C85" s="335">
        <v>1</v>
      </c>
      <c r="D85" s="335"/>
      <c r="E85" s="335"/>
      <c r="F85" s="335">
        <v>3</v>
      </c>
      <c r="G85" s="335">
        <v>3</v>
      </c>
      <c r="H85" s="335"/>
      <c r="I85" s="335"/>
      <c r="J85" s="335"/>
      <c r="K85" s="335"/>
      <c r="L85" s="335"/>
      <c r="M85" s="385"/>
      <c r="N85" s="199"/>
      <c r="O85" s="199"/>
      <c r="P85" s="199"/>
      <c r="Q85" s="199"/>
      <c r="R85" s="199"/>
      <c r="S85" s="199"/>
      <c r="T85" s="199"/>
      <c r="U85" s="199"/>
      <c r="V85" s="199"/>
      <c r="W85" s="199"/>
      <c r="X85" s="199"/>
      <c r="Y85" s="199"/>
      <c r="Z85" s="199"/>
      <c r="AA85" s="199"/>
      <c r="AB85" s="199"/>
      <c r="AC85" s="199"/>
      <c r="AD85" s="199"/>
      <c r="AE85" s="199"/>
      <c r="AF85" s="199"/>
      <c r="AG85" s="199"/>
      <c r="AH85" s="199"/>
    </row>
    <row r="86" spans="1:34" x14ac:dyDescent="0.25">
      <c r="A86" s="384" t="str">
        <f>hth_evasive&amp;" "&amp;8</f>
        <v>Evasive Combat 8</v>
      </c>
      <c r="B86" s="335">
        <v>5</v>
      </c>
      <c r="C86" s="335">
        <v>1</v>
      </c>
      <c r="D86" s="335"/>
      <c r="E86" s="335"/>
      <c r="F86" s="335">
        <v>3</v>
      </c>
      <c r="G86" s="335">
        <v>3</v>
      </c>
      <c r="H86" s="335"/>
      <c r="I86" s="335"/>
      <c r="J86" s="335"/>
      <c r="K86" s="335"/>
      <c r="L86" s="335"/>
      <c r="M86" s="385" t="s">
        <v>297</v>
      </c>
      <c r="N86" s="199"/>
      <c r="O86" s="199"/>
      <c r="P86" s="199"/>
      <c r="Q86" s="199"/>
      <c r="R86" s="199"/>
      <c r="S86" s="199"/>
      <c r="T86" s="199"/>
      <c r="U86" s="199"/>
      <c r="V86" s="199"/>
      <c r="W86" s="199"/>
      <c r="X86" s="199"/>
      <c r="Y86" s="199"/>
      <c r="Z86" s="199"/>
      <c r="AA86" s="199"/>
      <c r="AB86" s="199"/>
      <c r="AC86" s="199"/>
      <c r="AD86" s="199"/>
      <c r="AE86" s="199"/>
      <c r="AF86" s="199"/>
      <c r="AG86" s="199"/>
      <c r="AH86" s="199"/>
    </row>
    <row r="87" spans="1:34" x14ac:dyDescent="0.25">
      <c r="A87" s="384" t="str">
        <f>hth_evasive&amp;" "&amp;9</f>
        <v>Evasive Combat 9</v>
      </c>
      <c r="B87" s="335">
        <v>5</v>
      </c>
      <c r="C87" s="335">
        <v>2</v>
      </c>
      <c r="D87" s="335"/>
      <c r="E87" s="335"/>
      <c r="F87" s="335">
        <v>4</v>
      </c>
      <c r="G87" s="335">
        <v>3</v>
      </c>
      <c r="H87" s="335"/>
      <c r="I87" s="335"/>
      <c r="J87" s="335"/>
      <c r="K87" s="335"/>
      <c r="L87" s="335"/>
      <c r="M87" s="385" t="s">
        <v>297</v>
      </c>
      <c r="N87" s="199"/>
      <c r="O87" s="199"/>
      <c r="P87" s="199"/>
      <c r="Q87" s="199"/>
      <c r="R87" s="199"/>
      <c r="S87" s="199"/>
      <c r="T87" s="199"/>
      <c r="U87" s="199"/>
      <c r="V87" s="199"/>
      <c r="W87" s="199"/>
      <c r="X87" s="199"/>
      <c r="Y87" s="199"/>
      <c r="Z87" s="199"/>
      <c r="AA87" s="199"/>
      <c r="AB87" s="199"/>
      <c r="AC87" s="199"/>
      <c r="AD87" s="199"/>
      <c r="AE87" s="199"/>
      <c r="AF87" s="199"/>
      <c r="AG87" s="199"/>
      <c r="AH87" s="199"/>
    </row>
    <row r="88" spans="1:34" x14ac:dyDescent="0.25">
      <c r="A88" s="384" t="str">
        <f>hth_evasive&amp;" "&amp;10</f>
        <v>Evasive Combat 10</v>
      </c>
      <c r="B88" s="335">
        <v>6</v>
      </c>
      <c r="C88" s="335">
        <v>2</v>
      </c>
      <c r="D88" s="335"/>
      <c r="E88" s="335"/>
      <c r="F88" s="335">
        <v>4</v>
      </c>
      <c r="G88" s="335">
        <v>3</v>
      </c>
      <c r="H88" s="335"/>
      <c r="I88" s="335"/>
      <c r="J88" s="335"/>
      <c r="K88" s="335"/>
      <c r="L88" s="335"/>
      <c r="M88" s="385" t="s">
        <v>297</v>
      </c>
      <c r="N88" s="199"/>
      <c r="O88" s="199"/>
      <c r="P88" s="199"/>
      <c r="Q88" s="199"/>
      <c r="R88" s="199"/>
      <c r="S88" s="199"/>
      <c r="T88" s="199"/>
      <c r="U88" s="199"/>
      <c r="V88" s="199"/>
      <c r="W88" s="199"/>
      <c r="X88" s="199"/>
      <c r="Y88" s="199"/>
      <c r="Z88" s="199"/>
      <c r="AA88" s="199"/>
      <c r="AB88" s="199"/>
      <c r="AC88" s="199"/>
      <c r="AD88" s="199"/>
      <c r="AE88" s="199"/>
      <c r="AF88" s="199"/>
      <c r="AG88" s="199"/>
      <c r="AH88" s="199"/>
    </row>
    <row r="89" spans="1:34" x14ac:dyDescent="0.25">
      <c r="A89" s="384" t="str">
        <f>hth_evasive&amp;" "&amp;11</f>
        <v>Evasive Combat 11</v>
      </c>
      <c r="B89" s="335">
        <v>6</v>
      </c>
      <c r="C89" s="335">
        <v>2</v>
      </c>
      <c r="D89" s="335"/>
      <c r="E89" s="335"/>
      <c r="F89" s="335">
        <v>4</v>
      </c>
      <c r="G89" s="335">
        <v>4</v>
      </c>
      <c r="H89" s="335"/>
      <c r="I89" s="335"/>
      <c r="J89" s="335"/>
      <c r="K89" s="335"/>
      <c r="L89" s="335"/>
      <c r="M89" s="385" t="s">
        <v>297</v>
      </c>
      <c r="N89" s="199"/>
      <c r="O89" s="199"/>
      <c r="P89" s="199"/>
      <c r="Q89" s="199"/>
      <c r="R89" s="199"/>
      <c r="S89" s="199"/>
      <c r="T89" s="199"/>
      <c r="U89" s="199"/>
      <c r="V89" s="199"/>
      <c r="W89" s="199"/>
      <c r="X89" s="199"/>
      <c r="Y89" s="199"/>
      <c r="Z89" s="199"/>
      <c r="AA89" s="199"/>
      <c r="AB89" s="199"/>
      <c r="AC89" s="199"/>
      <c r="AD89" s="199"/>
      <c r="AE89" s="199"/>
      <c r="AF89" s="199"/>
      <c r="AG89" s="199"/>
      <c r="AH89" s="199"/>
    </row>
    <row r="90" spans="1:34" x14ac:dyDescent="0.25">
      <c r="A90" s="384" t="str">
        <f>hth_evasive&amp;" "&amp;12</f>
        <v>Evasive Combat 12</v>
      </c>
      <c r="B90" s="335">
        <v>6</v>
      </c>
      <c r="C90" s="335">
        <v>2</v>
      </c>
      <c r="D90" s="335"/>
      <c r="E90" s="335"/>
      <c r="F90" s="335">
        <v>5</v>
      </c>
      <c r="G90" s="335">
        <v>4</v>
      </c>
      <c r="H90" s="335"/>
      <c r="I90" s="335"/>
      <c r="J90" s="335"/>
      <c r="K90" s="335"/>
      <c r="L90" s="335"/>
      <c r="M90" s="385" t="s">
        <v>297</v>
      </c>
      <c r="N90" s="199"/>
      <c r="O90" s="199"/>
      <c r="P90" s="199"/>
      <c r="Q90" s="199"/>
      <c r="R90" s="199"/>
      <c r="S90" s="199"/>
      <c r="T90" s="199"/>
      <c r="U90" s="199"/>
      <c r="V90" s="199"/>
      <c r="W90" s="199"/>
      <c r="X90" s="199"/>
      <c r="Y90" s="199"/>
      <c r="Z90" s="199"/>
      <c r="AA90" s="199"/>
      <c r="AB90" s="199"/>
      <c r="AC90" s="199"/>
      <c r="AD90" s="199"/>
      <c r="AE90" s="199"/>
      <c r="AF90" s="199"/>
      <c r="AG90" s="199"/>
      <c r="AH90" s="199"/>
    </row>
    <row r="91" spans="1:34" x14ac:dyDescent="0.25">
      <c r="A91" s="384" t="str">
        <f>hth_evasive&amp;" "&amp;13</f>
        <v>Evasive Combat 13</v>
      </c>
      <c r="B91" s="335">
        <v>6</v>
      </c>
      <c r="C91" s="335">
        <v>4</v>
      </c>
      <c r="D91" s="335"/>
      <c r="E91" s="335"/>
      <c r="F91" s="335">
        <v>5</v>
      </c>
      <c r="G91" s="335">
        <v>4</v>
      </c>
      <c r="H91" s="335"/>
      <c r="I91" s="335"/>
      <c r="J91" s="335"/>
      <c r="K91" s="335"/>
      <c r="L91" s="335"/>
      <c r="M91" s="385" t="s">
        <v>297</v>
      </c>
      <c r="N91" s="199"/>
      <c r="O91" s="199"/>
      <c r="P91" s="199"/>
      <c r="Q91" s="199"/>
      <c r="R91" s="199"/>
      <c r="S91" s="199"/>
      <c r="T91" s="199"/>
      <c r="U91" s="199"/>
      <c r="V91" s="199"/>
      <c r="W91" s="199"/>
      <c r="X91" s="199"/>
      <c r="Y91" s="199"/>
      <c r="Z91" s="199"/>
      <c r="AA91" s="199"/>
      <c r="AB91" s="199"/>
      <c r="AC91" s="199"/>
      <c r="AD91" s="199"/>
      <c r="AE91" s="199"/>
      <c r="AF91" s="199"/>
      <c r="AG91" s="199"/>
      <c r="AH91" s="199"/>
    </row>
    <row r="92" spans="1:34" x14ac:dyDescent="0.25">
      <c r="A92" s="384" t="str">
        <f>hth_evasive&amp;" "&amp;14</f>
        <v>Evasive Combat 14</v>
      </c>
      <c r="B92" s="335">
        <v>7</v>
      </c>
      <c r="C92" s="335">
        <v>4</v>
      </c>
      <c r="D92" s="335"/>
      <c r="E92" s="335"/>
      <c r="F92" s="335">
        <v>5</v>
      </c>
      <c r="G92" s="335">
        <v>4</v>
      </c>
      <c r="H92" s="335"/>
      <c r="I92" s="335"/>
      <c r="J92" s="335"/>
      <c r="K92" s="335"/>
      <c r="L92" s="335"/>
      <c r="M92" s="385" t="s">
        <v>297</v>
      </c>
      <c r="N92" s="199"/>
      <c r="O92" s="199"/>
      <c r="P92" s="199"/>
      <c r="Q92" s="199"/>
      <c r="R92" s="199"/>
      <c r="S92" s="199"/>
      <c r="T92" s="199"/>
      <c r="U92" s="199"/>
      <c r="V92" s="199"/>
      <c r="W92" s="199"/>
      <c r="X92" s="199"/>
      <c r="Y92" s="199"/>
      <c r="Z92" s="199"/>
      <c r="AA92" s="199"/>
      <c r="AB92" s="199"/>
      <c r="AC92" s="199"/>
      <c r="AD92" s="199"/>
      <c r="AE92" s="199"/>
      <c r="AF92" s="199"/>
      <c r="AG92" s="199"/>
      <c r="AH92" s="199"/>
    </row>
    <row r="93" spans="1:34" x14ac:dyDescent="0.25">
      <c r="A93" s="384" t="str">
        <f>hth_evasive&amp;" "&amp;15</f>
        <v>Evasive Combat 15</v>
      </c>
      <c r="B93" s="335">
        <v>7</v>
      </c>
      <c r="C93" s="335">
        <v>4</v>
      </c>
      <c r="D93" s="335"/>
      <c r="E93" s="335"/>
      <c r="F93" s="335">
        <v>5</v>
      </c>
      <c r="G93" s="335">
        <v>4</v>
      </c>
      <c r="H93" s="335"/>
      <c r="I93" s="335"/>
      <c r="J93" s="335"/>
      <c r="K93" s="335"/>
      <c r="L93" s="335"/>
      <c r="M93" s="385" t="s">
        <v>297</v>
      </c>
      <c r="N93" s="199"/>
      <c r="O93" s="199"/>
      <c r="P93" s="199"/>
      <c r="Q93" s="199"/>
      <c r="R93" s="199"/>
      <c r="S93" s="199"/>
      <c r="T93" s="199"/>
      <c r="U93" s="199"/>
      <c r="V93" s="199"/>
      <c r="W93" s="199"/>
      <c r="X93" s="199"/>
      <c r="Y93" s="199"/>
      <c r="Z93" s="199"/>
      <c r="AA93" s="199"/>
      <c r="AB93" s="199"/>
      <c r="AC93" s="199"/>
      <c r="AD93" s="199"/>
      <c r="AE93" s="199"/>
      <c r="AF93" s="199"/>
      <c r="AG93" s="199"/>
      <c r="AH93" s="199"/>
    </row>
    <row r="94" spans="1:34" x14ac:dyDescent="0.25">
      <c r="A94" s="384" t="str">
        <f>hth_gladiator&amp;" "&amp;1</f>
        <v>Gladiator 1</v>
      </c>
      <c r="B94" s="335">
        <v>4</v>
      </c>
      <c r="C94" s="335"/>
      <c r="D94" s="335"/>
      <c r="E94" s="335"/>
      <c r="F94" s="335"/>
      <c r="G94" s="335">
        <v>2</v>
      </c>
      <c r="H94" s="335"/>
      <c r="I94" s="335"/>
      <c r="J94" s="335">
        <v>20</v>
      </c>
      <c r="K94" s="335"/>
      <c r="L94" s="335"/>
      <c r="M94" s="385" t="s">
        <v>275</v>
      </c>
      <c r="N94" s="199"/>
      <c r="O94" s="199"/>
      <c r="P94" s="199"/>
      <c r="Q94" s="199"/>
      <c r="R94" s="199"/>
      <c r="S94" s="199"/>
      <c r="T94" s="199"/>
      <c r="U94" s="199"/>
      <c r="V94" s="199"/>
      <c r="W94" s="199"/>
      <c r="X94" s="199"/>
      <c r="Y94" s="199"/>
      <c r="Z94" s="199"/>
      <c r="AA94" s="199"/>
      <c r="AB94" s="199"/>
      <c r="AC94" s="199"/>
      <c r="AD94" s="199"/>
      <c r="AE94" s="199"/>
      <c r="AF94" s="199"/>
      <c r="AG94" s="199"/>
      <c r="AH94" s="199"/>
    </row>
    <row r="95" spans="1:34" x14ac:dyDescent="0.25">
      <c r="A95" s="384" t="str">
        <f>hth_gladiator&amp;" "&amp;2</f>
        <v>Gladiator 2</v>
      </c>
      <c r="B95" s="335">
        <v>4</v>
      </c>
      <c r="C95" s="335"/>
      <c r="D95" s="335">
        <v>1</v>
      </c>
      <c r="E95" s="335">
        <v>1</v>
      </c>
      <c r="F95" s="335"/>
      <c r="G95" s="335">
        <v>2</v>
      </c>
      <c r="H95" s="335">
        <v>3</v>
      </c>
      <c r="I95" s="335"/>
      <c r="J95" s="335">
        <v>20</v>
      </c>
      <c r="K95" s="335"/>
      <c r="L95" s="335"/>
      <c r="M95" s="385" t="s">
        <v>275</v>
      </c>
      <c r="N95" s="199"/>
      <c r="O95" s="199"/>
      <c r="P95" s="199"/>
      <c r="Q95" s="199"/>
      <c r="R95" s="199"/>
      <c r="S95" s="199"/>
      <c r="T95" s="199"/>
      <c r="U95" s="199"/>
      <c r="V95" s="199"/>
      <c r="W95" s="199"/>
      <c r="X95" s="199"/>
      <c r="Y95" s="199"/>
      <c r="Z95" s="199"/>
      <c r="AA95" s="199"/>
      <c r="AB95" s="199"/>
      <c r="AC95" s="199"/>
      <c r="AD95" s="199"/>
      <c r="AE95" s="199"/>
      <c r="AF95" s="199"/>
      <c r="AG95" s="199"/>
      <c r="AH95" s="199"/>
    </row>
    <row r="96" spans="1:34" x14ac:dyDescent="0.25">
      <c r="A96" s="384" t="str">
        <f>hth_gladiator&amp;" "&amp;3</f>
        <v>Gladiator 3</v>
      </c>
      <c r="B96" s="335">
        <v>4</v>
      </c>
      <c r="C96" s="335"/>
      <c r="D96" s="335">
        <v>1</v>
      </c>
      <c r="E96" s="335">
        <v>1</v>
      </c>
      <c r="F96" s="335"/>
      <c r="G96" s="335">
        <v>2</v>
      </c>
      <c r="H96" s="335">
        <v>3</v>
      </c>
      <c r="I96" s="335">
        <v>2</v>
      </c>
      <c r="J96" s="335">
        <v>20</v>
      </c>
      <c r="K96" s="335"/>
      <c r="L96" s="335"/>
      <c r="M96" s="385" t="s">
        <v>275</v>
      </c>
      <c r="N96" s="199"/>
      <c r="O96" s="199"/>
      <c r="P96" s="199"/>
      <c r="Q96" s="199"/>
      <c r="R96" s="199"/>
      <c r="S96" s="199"/>
      <c r="T96" s="199"/>
      <c r="U96" s="199"/>
      <c r="V96" s="199"/>
      <c r="W96" s="199"/>
      <c r="X96" s="199"/>
      <c r="Y96" s="199"/>
      <c r="Z96" s="199"/>
      <c r="AA96" s="199"/>
      <c r="AB96" s="199"/>
      <c r="AC96" s="199"/>
      <c r="AD96" s="199"/>
      <c r="AE96" s="199"/>
      <c r="AF96" s="199"/>
      <c r="AG96" s="199"/>
      <c r="AH96" s="199"/>
    </row>
    <row r="97" spans="1:56" x14ac:dyDescent="0.25">
      <c r="A97" s="384" t="str">
        <f>hth_gladiator&amp;" "&amp;4</f>
        <v>Gladiator 4</v>
      </c>
      <c r="B97" s="335">
        <v>5</v>
      </c>
      <c r="C97" s="335"/>
      <c r="D97" s="335">
        <v>1</v>
      </c>
      <c r="E97" s="335">
        <v>1</v>
      </c>
      <c r="F97" s="335"/>
      <c r="G97" s="335">
        <v>2</v>
      </c>
      <c r="H97" s="335">
        <v>3</v>
      </c>
      <c r="I97" s="335">
        <v>2</v>
      </c>
      <c r="J97" s="335">
        <v>20</v>
      </c>
      <c r="K97" s="335"/>
      <c r="L97" s="335"/>
      <c r="M97" s="385" t="s">
        <v>275</v>
      </c>
      <c r="N97" s="199"/>
      <c r="O97" s="199"/>
      <c r="P97" s="199"/>
      <c r="Q97" s="199"/>
      <c r="R97" s="199"/>
      <c r="S97" s="199"/>
      <c r="T97" s="199"/>
      <c r="U97" s="199"/>
      <c r="V97" s="199"/>
      <c r="W97" s="199"/>
      <c r="X97" s="199"/>
      <c r="Y97" s="199"/>
      <c r="Z97" s="199"/>
      <c r="AA97" s="199"/>
      <c r="AB97" s="199"/>
      <c r="AC97" s="199"/>
      <c r="AD97" s="199"/>
      <c r="AE97" s="199"/>
      <c r="AF97" s="199"/>
      <c r="AG97" s="199"/>
      <c r="AH97" s="199"/>
    </row>
    <row r="98" spans="1:56" x14ac:dyDescent="0.25">
      <c r="A98" s="384" t="str">
        <f>hth_gladiator&amp;" "&amp;5</f>
        <v>Gladiator 5</v>
      </c>
      <c r="B98" s="335">
        <v>5</v>
      </c>
      <c r="C98" s="335"/>
      <c r="D98" s="335">
        <v>2</v>
      </c>
      <c r="E98" s="335">
        <v>1</v>
      </c>
      <c r="F98" s="335"/>
      <c r="G98" s="335">
        <v>2</v>
      </c>
      <c r="H98" s="335">
        <v>3</v>
      </c>
      <c r="I98" s="335">
        <v>2</v>
      </c>
      <c r="J98" s="335">
        <v>20</v>
      </c>
      <c r="K98" s="335"/>
      <c r="L98" s="335"/>
      <c r="M98" s="385" t="s">
        <v>289</v>
      </c>
      <c r="N98" s="199"/>
      <c r="O98" s="199"/>
      <c r="P98" s="199"/>
      <c r="Q98" s="199"/>
      <c r="R98" s="199"/>
      <c r="S98" s="199"/>
      <c r="T98" s="199"/>
      <c r="U98" s="199"/>
      <c r="V98" s="199"/>
      <c r="W98" s="199"/>
      <c r="X98" s="199"/>
      <c r="Y98" s="199"/>
      <c r="Z98" s="199"/>
      <c r="AA98" s="199"/>
      <c r="AB98" s="199"/>
      <c r="AC98" s="199"/>
      <c r="AD98" s="199"/>
      <c r="AE98" s="199"/>
      <c r="AF98" s="199"/>
      <c r="AG98" s="199"/>
      <c r="AH98" s="199"/>
    </row>
    <row r="99" spans="1:56" x14ac:dyDescent="0.25">
      <c r="A99" s="384" t="str">
        <f>hth_gladiator&amp;" "&amp;6</f>
        <v>Gladiator 6</v>
      </c>
      <c r="B99" s="335">
        <v>5</v>
      </c>
      <c r="C99" s="335"/>
      <c r="D99" s="335">
        <v>2</v>
      </c>
      <c r="E99" s="335">
        <v>2</v>
      </c>
      <c r="F99" s="335">
        <v>1</v>
      </c>
      <c r="G99" s="335">
        <v>2</v>
      </c>
      <c r="H99" s="335">
        <v>3</v>
      </c>
      <c r="I99" s="335">
        <v>2</v>
      </c>
      <c r="J99" s="335">
        <v>20</v>
      </c>
      <c r="K99" s="385"/>
      <c r="L99" s="385"/>
      <c r="M99" s="385" t="s">
        <v>289</v>
      </c>
      <c r="N99" s="199"/>
      <c r="O99" s="199"/>
      <c r="P99" s="199"/>
      <c r="Q99" s="199"/>
      <c r="R99" s="199"/>
      <c r="S99" s="199"/>
      <c r="T99" s="199"/>
      <c r="U99" s="199"/>
      <c r="V99" s="199"/>
      <c r="W99" s="199"/>
      <c r="X99" s="199"/>
      <c r="Y99" s="199"/>
      <c r="Z99" s="199"/>
      <c r="AA99" s="199"/>
      <c r="AB99" s="199"/>
      <c r="AC99" s="199"/>
      <c r="AD99" s="199"/>
      <c r="AE99" s="199"/>
      <c r="AF99" s="199"/>
      <c r="AG99" s="199"/>
      <c r="AH99" s="199"/>
    </row>
    <row r="100" spans="1:56" x14ac:dyDescent="0.25">
      <c r="A100" s="384" t="str">
        <f>hth_gladiator&amp;" "&amp;7</f>
        <v>Gladiator 7</v>
      </c>
      <c r="B100" s="335">
        <v>6</v>
      </c>
      <c r="C100" s="335"/>
      <c r="D100" s="335">
        <v>2</v>
      </c>
      <c r="E100" s="335">
        <v>2</v>
      </c>
      <c r="F100" s="335">
        <v>1</v>
      </c>
      <c r="G100" s="335">
        <v>2</v>
      </c>
      <c r="H100" s="335">
        <v>3</v>
      </c>
      <c r="I100" s="335">
        <v>4</v>
      </c>
      <c r="J100" s="335">
        <v>20</v>
      </c>
      <c r="K100" s="385"/>
      <c r="L100" s="385"/>
      <c r="M100" s="385" t="s">
        <v>289</v>
      </c>
      <c r="N100" s="199"/>
      <c r="O100" s="199"/>
      <c r="P100" s="199"/>
      <c r="Q100" s="199"/>
      <c r="R100" s="199"/>
      <c r="S100" s="199"/>
      <c r="T100" s="199"/>
      <c r="U100" s="199"/>
      <c r="V100" s="199"/>
      <c r="W100" s="199"/>
      <c r="X100" s="199"/>
      <c r="Y100" s="199"/>
      <c r="Z100" s="199"/>
      <c r="AA100" s="199"/>
      <c r="AB100" s="199"/>
      <c r="AC100" s="199"/>
      <c r="AD100" s="199"/>
      <c r="AE100" s="199"/>
      <c r="AF100" s="199"/>
      <c r="AG100" s="199"/>
      <c r="AH100" s="199"/>
    </row>
    <row r="101" spans="1:56" x14ac:dyDescent="0.25">
      <c r="A101" s="384" t="str">
        <f>hth_gladiator&amp;" "&amp;8</f>
        <v>Gladiator 8</v>
      </c>
      <c r="B101" s="335">
        <v>6</v>
      </c>
      <c r="C101" s="335"/>
      <c r="D101" s="335">
        <v>2</v>
      </c>
      <c r="E101" s="335">
        <v>2</v>
      </c>
      <c r="F101" s="335">
        <v>1</v>
      </c>
      <c r="G101" s="335">
        <v>2</v>
      </c>
      <c r="H101" s="335">
        <v>3</v>
      </c>
      <c r="I101" s="335">
        <v>4</v>
      </c>
      <c r="J101" s="335">
        <v>20</v>
      </c>
      <c r="K101" s="385" t="s">
        <v>289</v>
      </c>
      <c r="L101" s="385"/>
      <c r="M101" s="385" t="s">
        <v>289</v>
      </c>
      <c r="N101" s="199"/>
      <c r="O101" s="199"/>
      <c r="P101" s="199"/>
      <c r="Q101" s="199"/>
      <c r="R101" s="199"/>
      <c r="S101" s="199"/>
      <c r="T101" s="199"/>
      <c r="U101" s="199"/>
      <c r="V101" s="199"/>
      <c r="W101" s="199"/>
      <c r="X101" s="199"/>
      <c r="Y101" s="199"/>
      <c r="Z101" s="199"/>
      <c r="AA101" s="199"/>
      <c r="AB101" s="199"/>
      <c r="AC101" s="199"/>
      <c r="AD101" s="199"/>
      <c r="AE101" s="199"/>
      <c r="AF101" s="199"/>
      <c r="AG101" s="199"/>
      <c r="AH101" s="199"/>
    </row>
    <row r="102" spans="1:56" x14ac:dyDescent="0.25">
      <c r="A102" s="384" t="str">
        <f>hth_gladiator&amp;" "&amp;9</f>
        <v>Gladiator 9</v>
      </c>
      <c r="B102" s="335">
        <v>6</v>
      </c>
      <c r="C102" s="335"/>
      <c r="D102" s="335">
        <v>2</v>
      </c>
      <c r="E102" s="335">
        <v>2</v>
      </c>
      <c r="F102" s="335">
        <v>1</v>
      </c>
      <c r="G102" s="335">
        <v>4</v>
      </c>
      <c r="H102" s="335">
        <v>5</v>
      </c>
      <c r="I102" s="335">
        <v>4</v>
      </c>
      <c r="J102" s="335">
        <v>20</v>
      </c>
      <c r="K102" s="385" t="s">
        <v>289</v>
      </c>
      <c r="L102" s="385"/>
      <c r="M102" s="385" t="s">
        <v>289</v>
      </c>
      <c r="N102" s="199"/>
      <c r="O102" s="199"/>
      <c r="P102" s="199"/>
      <c r="Q102" s="199"/>
      <c r="R102" s="199"/>
      <c r="S102" s="199"/>
      <c r="T102" s="199"/>
      <c r="U102" s="199"/>
      <c r="V102" s="199"/>
      <c r="W102" s="199"/>
      <c r="X102" s="199"/>
      <c r="Y102" s="199"/>
      <c r="Z102" s="199"/>
      <c r="AA102" s="199"/>
      <c r="AB102" s="199"/>
      <c r="AC102" s="199"/>
      <c r="AD102" s="199"/>
      <c r="AE102" s="199"/>
      <c r="AF102" s="199"/>
      <c r="AG102" s="199"/>
      <c r="AH102" s="199"/>
    </row>
    <row r="103" spans="1:56" x14ac:dyDescent="0.25">
      <c r="A103" s="384" t="str">
        <f>hth_gladiator&amp;" "&amp;10</f>
        <v>Gladiator 10</v>
      </c>
      <c r="B103" s="335">
        <v>7</v>
      </c>
      <c r="C103" s="335"/>
      <c r="D103" s="335">
        <v>2</v>
      </c>
      <c r="E103" s="335">
        <v>2</v>
      </c>
      <c r="F103" s="335">
        <v>1</v>
      </c>
      <c r="G103" s="335">
        <v>4</v>
      </c>
      <c r="H103" s="335">
        <v>5</v>
      </c>
      <c r="I103" s="335">
        <v>4</v>
      </c>
      <c r="J103" s="335">
        <v>20</v>
      </c>
      <c r="K103" s="385" t="s">
        <v>289</v>
      </c>
      <c r="L103" s="385"/>
      <c r="M103" s="385" t="s">
        <v>289</v>
      </c>
      <c r="N103" s="199"/>
      <c r="O103" s="199"/>
      <c r="P103" s="199"/>
      <c r="Q103" s="199"/>
      <c r="R103" s="199"/>
      <c r="S103" s="199"/>
      <c r="T103" s="199"/>
      <c r="U103" s="199"/>
      <c r="V103" s="199"/>
      <c r="W103" s="199"/>
      <c r="X103" s="199"/>
      <c r="Y103" s="199"/>
      <c r="Z103" s="199"/>
      <c r="AA103" s="199"/>
      <c r="AB103" s="199"/>
      <c r="AC103" s="199"/>
      <c r="AD103" s="199"/>
      <c r="AE103" s="199"/>
      <c r="AF103" s="199"/>
      <c r="AG103" s="199"/>
      <c r="AH103" s="199"/>
    </row>
    <row r="104" spans="1:56" x14ac:dyDescent="0.25">
      <c r="A104" s="384" t="str">
        <f>hth_gladiator&amp;" "&amp;11</f>
        <v>Gladiator 11</v>
      </c>
      <c r="B104" s="335">
        <v>7</v>
      </c>
      <c r="C104" s="335"/>
      <c r="D104" s="335">
        <v>2</v>
      </c>
      <c r="E104" s="335">
        <v>3</v>
      </c>
      <c r="F104" s="335">
        <v>3</v>
      </c>
      <c r="G104" s="335">
        <v>4</v>
      </c>
      <c r="H104" s="335">
        <v>5</v>
      </c>
      <c r="I104" s="335">
        <v>4</v>
      </c>
      <c r="J104" s="335">
        <v>20</v>
      </c>
      <c r="K104" s="385" t="s">
        <v>289</v>
      </c>
      <c r="L104" s="385"/>
      <c r="M104" s="385" t="s">
        <v>289</v>
      </c>
      <c r="N104" s="199"/>
      <c r="O104" s="199"/>
      <c r="P104" s="199"/>
      <c r="Q104" s="199"/>
      <c r="R104" s="199"/>
      <c r="S104" s="199"/>
      <c r="T104" s="199"/>
      <c r="U104" s="199"/>
      <c r="V104" s="199"/>
      <c r="W104" s="199"/>
      <c r="X104" s="199"/>
      <c r="Y104" s="199"/>
      <c r="Z104" s="199"/>
      <c r="AA104" s="199"/>
      <c r="AB104" s="199"/>
      <c r="AC104" s="199"/>
      <c r="AD104" s="199"/>
      <c r="AE104" s="199"/>
      <c r="AF104" s="199"/>
      <c r="AG104" s="199"/>
      <c r="AH104" s="199"/>
    </row>
    <row r="105" spans="1:56" x14ac:dyDescent="0.25">
      <c r="A105" s="384" t="str">
        <f>hth_gladiator&amp;" "&amp;12</f>
        <v>Gladiator 12</v>
      </c>
      <c r="B105" s="335">
        <v>7</v>
      </c>
      <c r="C105" s="335"/>
      <c r="D105" s="335">
        <v>2</v>
      </c>
      <c r="E105" s="335">
        <v>3</v>
      </c>
      <c r="F105" s="335">
        <v>3</v>
      </c>
      <c r="G105" s="335">
        <v>4</v>
      </c>
      <c r="H105" s="335">
        <v>5</v>
      </c>
      <c r="I105" s="335">
        <v>4</v>
      </c>
      <c r="J105" s="335">
        <v>20</v>
      </c>
      <c r="K105" s="385" t="s">
        <v>289</v>
      </c>
      <c r="L105" s="385" t="s">
        <v>289</v>
      </c>
      <c r="M105" s="385" t="s">
        <v>289</v>
      </c>
      <c r="N105" s="199"/>
      <c r="O105" s="199"/>
      <c r="P105" s="199"/>
      <c r="Q105" s="199"/>
      <c r="R105" s="199"/>
      <c r="S105" s="199"/>
      <c r="T105" s="199"/>
      <c r="U105" s="199"/>
      <c r="V105" s="199"/>
      <c r="W105" s="199"/>
      <c r="X105" s="199"/>
      <c r="Y105" s="199"/>
      <c r="Z105" s="199"/>
      <c r="AA105" s="199"/>
      <c r="AB105" s="199"/>
      <c r="AC105" s="199"/>
      <c r="AD105" s="199"/>
      <c r="AE105" s="199"/>
      <c r="AF105" s="199"/>
      <c r="AG105" s="199"/>
      <c r="AH105" s="199"/>
    </row>
    <row r="106" spans="1:56" x14ac:dyDescent="0.25">
      <c r="A106" s="384" t="str">
        <f>hth_gladiator&amp;" "&amp;13</f>
        <v>Gladiator 13</v>
      </c>
      <c r="B106" s="335">
        <v>8</v>
      </c>
      <c r="C106" s="335"/>
      <c r="D106" s="335">
        <v>2</v>
      </c>
      <c r="E106" s="335">
        <v>3</v>
      </c>
      <c r="F106" s="335">
        <v>3</v>
      </c>
      <c r="G106" s="335">
        <v>4</v>
      </c>
      <c r="H106" s="335">
        <v>5</v>
      </c>
      <c r="I106" s="335">
        <v>4</v>
      </c>
      <c r="J106" s="335">
        <v>20</v>
      </c>
      <c r="K106" s="385" t="s">
        <v>289</v>
      </c>
      <c r="L106" s="385" t="s">
        <v>289</v>
      </c>
      <c r="M106" s="385" t="s">
        <v>289</v>
      </c>
      <c r="N106" s="199"/>
      <c r="O106" s="199"/>
      <c r="P106" s="199"/>
      <c r="Q106" s="199"/>
      <c r="R106" s="199"/>
      <c r="S106" s="199"/>
      <c r="T106" s="199"/>
      <c r="U106" s="199"/>
      <c r="V106" s="199"/>
      <c r="W106" s="199"/>
      <c r="X106" s="199"/>
      <c r="Y106" s="199"/>
      <c r="Z106" s="199"/>
      <c r="AA106" s="199"/>
      <c r="AB106" s="199"/>
      <c r="AC106" s="199"/>
      <c r="AD106" s="199"/>
      <c r="AE106" s="199"/>
      <c r="AF106" s="199"/>
      <c r="AG106" s="199"/>
      <c r="AH106" s="199"/>
    </row>
    <row r="107" spans="1:56" x14ac:dyDescent="0.25">
      <c r="A107" s="384" t="str">
        <f>hth_gladiator&amp;" "&amp;14</f>
        <v>Gladiator 14</v>
      </c>
      <c r="B107" s="335">
        <v>8</v>
      </c>
      <c r="C107" s="335"/>
      <c r="D107" s="335">
        <v>2</v>
      </c>
      <c r="E107" s="335">
        <v>3</v>
      </c>
      <c r="F107" s="335">
        <v>3</v>
      </c>
      <c r="G107" s="335">
        <v>4</v>
      </c>
      <c r="H107" s="335">
        <v>7</v>
      </c>
      <c r="I107" s="335">
        <v>4</v>
      </c>
      <c r="J107" s="335">
        <v>20</v>
      </c>
      <c r="K107" s="385" t="s">
        <v>289</v>
      </c>
      <c r="L107" s="385" t="s">
        <v>289</v>
      </c>
      <c r="M107" s="385" t="s">
        <v>297</v>
      </c>
      <c r="N107" s="199"/>
      <c r="O107" s="199"/>
      <c r="P107" s="199"/>
      <c r="Q107" s="199"/>
      <c r="R107" s="199"/>
      <c r="S107" s="199"/>
      <c r="T107" s="199"/>
      <c r="U107" s="199"/>
      <c r="V107" s="199"/>
      <c r="W107" s="199"/>
      <c r="X107" s="199"/>
      <c r="Y107" s="199"/>
      <c r="Z107" s="199"/>
      <c r="AA107" s="199"/>
      <c r="AB107" s="199"/>
      <c r="AC107" s="199"/>
      <c r="AD107" s="199"/>
      <c r="AE107" s="199"/>
      <c r="AF107" s="199"/>
      <c r="AG107" s="199"/>
      <c r="AH107" s="199"/>
    </row>
    <row r="108" spans="1:56" x14ac:dyDescent="0.25">
      <c r="A108" s="384" t="str">
        <f>hth_gladiator&amp;" "&amp;15</f>
        <v>Gladiator 15</v>
      </c>
      <c r="B108" s="335">
        <v>8</v>
      </c>
      <c r="C108" s="335"/>
      <c r="D108" s="335">
        <v>2</v>
      </c>
      <c r="E108" s="335">
        <v>3</v>
      </c>
      <c r="F108" s="335">
        <v>3</v>
      </c>
      <c r="G108" s="335">
        <v>4</v>
      </c>
      <c r="H108" s="335">
        <v>7</v>
      </c>
      <c r="I108" s="335">
        <v>4</v>
      </c>
      <c r="J108" s="335">
        <v>20</v>
      </c>
      <c r="K108" s="385" t="s">
        <v>289</v>
      </c>
      <c r="L108" s="385" t="s">
        <v>289</v>
      </c>
      <c r="M108" s="385" t="s">
        <v>297</v>
      </c>
      <c r="N108" s="199"/>
      <c r="O108" s="199"/>
      <c r="P108" s="199"/>
      <c r="Q108" s="199"/>
      <c r="R108" s="199"/>
      <c r="S108" s="199"/>
      <c r="T108" s="199"/>
      <c r="U108" s="199"/>
      <c r="V108" s="199"/>
      <c r="W108" s="199"/>
      <c r="X108" s="199"/>
      <c r="Y108" s="199"/>
      <c r="Z108" s="199"/>
      <c r="AA108" s="199"/>
      <c r="AB108" s="199"/>
      <c r="AC108" s="199"/>
      <c r="AD108" s="199"/>
      <c r="AE108" s="199"/>
      <c r="AF108" s="199"/>
      <c r="AG108" s="199"/>
      <c r="AH108" s="199"/>
    </row>
    <row r="109" spans="1:56" x14ac:dyDescent="0.25">
      <c r="A109" s="437" t="str">
        <f>hth_skudasa&amp;" "&amp;1</f>
        <v>Skudasa 1</v>
      </c>
      <c r="B109" s="335">
        <v>4</v>
      </c>
      <c r="C109" s="335"/>
      <c r="D109" s="335">
        <v>2</v>
      </c>
      <c r="E109" s="335"/>
      <c r="F109" s="335"/>
      <c r="G109" s="335"/>
      <c r="H109" s="335"/>
      <c r="I109" s="335"/>
      <c r="J109" s="335">
        <v>20</v>
      </c>
      <c r="K109" s="335"/>
      <c r="L109" s="335"/>
      <c r="M109" s="385"/>
      <c r="N109" s="199"/>
      <c r="O109" s="199"/>
      <c r="P109" s="199"/>
      <c r="Q109" s="199"/>
      <c r="R109" s="199"/>
      <c r="S109" s="199"/>
      <c r="T109" s="199"/>
      <c r="U109" s="199"/>
      <c r="V109" s="199"/>
      <c r="W109" s="199"/>
      <c r="X109" s="199"/>
      <c r="Y109" s="199"/>
      <c r="Z109" s="199"/>
      <c r="AA109" s="199"/>
      <c r="AB109" s="199"/>
      <c r="AC109" s="199"/>
      <c r="AD109" s="199"/>
      <c r="AE109" s="199"/>
      <c r="AF109" s="199"/>
      <c r="AG109" s="199"/>
      <c r="AH109" s="199"/>
      <c r="AI109" s="48"/>
      <c r="AJ109" s="48"/>
      <c r="AK109" s="48"/>
      <c r="AL109" s="48"/>
      <c r="AM109" s="48"/>
      <c r="AN109" s="48"/>
      <c r="AO109" s="48"/>
      <c r="AP109" s="48"/>
      <c r="AQ109" s="48"/>
      <c r="AR109" s="48"/>
      <c r="AS109" s="48"/>
      <c r="AT109" s="48"/>
      <c r="AU109" s="48"/>
      <c r="AV109" s="48"/>
      <c r="AW109" s="48"/>
      <c r="AX109" s="48"/>
      <c r="AY109" s="48"/>
      <c r="AZ109" s="48"/>
      <c r="BA109" s="48"/>
      <c r="BB109" s="48"/>
      <c r="BC109" s="48"/>
      <c r="BD109" s="48"/>
    </row>
    <row r="110" spans="1:56" x14ac:dyDescent="0.25">
      <c r="A110" s="437" t="str">
        <f>hth_skudasa&amp;" "&amp;2</f>
        <v>Skudasa 2</v>
      </c>
      <c r="B110" s="335">
        <v>4</v>
      </c>
      <c r="C110" s="335"/>
      <c r="D110" s="335">
        <v>2</v>
      </c>
      <c r="E110" s="335">
        <v>3</v>
      </c>
      <c r="F110" s="335">
        <v>3</v>
      </c>
      <c r="G110" s="335">
        <v>2</v>
      </c>
      <c r="H110" s="335">
        <v>2</v>
      </c>
      <c r="I110" s="335"/>
      <c r="J110" s="335">
        <v>20</v>
      </c>
      <c r="K110" s="335"/>
      <c r="L110" s="335"/>
      <c r="M110" s="385"/>
      <c r="N110" s="199"/>
      <c r="O110" s="199"/>
      <c r="P110" s="199"/>
      <c r="Q110" s="199"/>
      <c r="R110" s="199"/>
      <c r="S110" s="199"/>
      <c r="T110" s="199"/>
      <c r="U110" s="199"/>
      <c r="V110" s="199"/>
      <c r="W110" s="199"/>
      <c r="X110" s="199"/>
      <c r="Y110" s="199"/>
      <c r="Z110" s="199"/>
      <c r="AA110" s="199"/>
      <c r="AB110" s="199"/>
      <c r="AC110" s="199"/>
      <c r="AD110" s="199"/>
      <c r="AE110" s="199"/>
      <c r="AF110" s="199"/>
      <c r="AG110" s="199"/>
      <c r="AH110" s="199"/>
      <c r="AI110" s="48"/>
      <c r="AJ110" s="48"/>
      <c r="AK110" s="48"/>
      <c r="AL110" s="48"/>
      <c r="AM110" s="48"/>
      <c r="AN110" s="48"/>
      <c r="AO110" s="48"/>
      <c r="AP110" s="48"/>
      <c r="AQ110" s="48"/>
      <c r="AR110" s="48"/>
      <c r="AS110" s="48"/>
      <c r="AT110" s="48"/>
      <c r="AU110" s="48"/>
      <c r="AV110" s="48"/>
      <c r="AW110" s="48"/>
      <c r="AX110" s="48"/>
      <c r="AY110" s="48"/>
      <c r="AZ110" s="48"/>
      <c r="BA110" s="48"/>
      <c r="BB110" s="48"/>
      <c r="BC110" s="48"/>
      <c r="BD110" s="48"/>
    </row>
    <row r="111" spans="1:56" x14ac:dyDescent="0.25">
      <c r="A111" s="437" t="str">
        <f>hth_skudasa&amp;" "&amp;3</f>
        <v>Skudasa 3</v>
      </c>
      <c r="B111" s="335">
        <v>4</v>
      </c>
      <c r="C111" s="335"/>
      <c r="D111" s="335">
        <v>2</v>
      </c>
      <c r="E111" s="335">
        <v>3</v>
      </c>
      <c r="F111" s="335">
        <v>3</v>
      </c>
      <c r="G111" s="335">
        <v>2</v>
      </c>
      <c r="H111" s="335">
        <v>2</v>
      </c>
      <c r="I111" s="335"/>
      <c r="J111" s="335">
        <v>20</v>
      </c>
      <c r="K111" s="335"/>
      <c r="L111" s="335"/>
      <c r="M111" s="385"/>
      <c r="N111" s="199"/>
      <c r="O111" s="199"/>
      <c r="P111" s="199"/>
      <c r="Q111" s="199"/>
      <c r="R111" s="199"/>
      <c r="S111" s="199"/>
      <c r="T111" s="199"/>
      <c r="U111" s="199"/>
      <c r="V111" s="199"/>
      <c r="W111" s="199"/>
      <c r="X111" s="199"/>
      <c r="Y111" s="199"/>
      <c r="Z111" s="199"/>
      <c r="AA111" s="199"/>
      <c r="AB111" s="199"/>
      <c r="AC111" s="199"/>
      <c r="AD111" s="199"/>
      <c r="AE111" s="199"/>
      <c r="AF111" s="199"/>
      <c r="AG111" s="199"/>
      <c r="AH111" s="199"/>
      <c r="AI111" s="48"/>
      <c r="AJ111" s="48"/>
      <c r="AK111" s="48"/>
      <c r="AL111" s="48"/>
      <c r="AM111" s="48"/>
      <c r="AN111" s="48"/>
      <c r="AO111" s="48"/>
      <c r="AP111" s="48"/>
      <c r="AQ111" s="48"/>
      <c r="AR111" s="48"/>
      <c r="AS111" s="48"/>
      <c r="AT111" s="48"/>
      <c r="AU111" s="48"/>
      <c r="AV111" s="48"/>
      <c r="AW111" s="48"/>
      <c r="AX111" s="48"/>
      <c r="AY111" s="48"/>
      <c r="AZ111" s="48"/>
      <c r="BA111" s="48"/>
      <c r="BB111" s="48"/>
      <c r="BC111" s="48"/>
      <c r="BD111" s="48"/>
    </row>
    <row r="112" spans="1:56" x14ac:dyDescent="0.25">
      <c r="A112" s="437" t="str">
        <f>hth_skudasa&amp;" "&amp;4</f>
        <v>Skudasa 4</v>
      </c>
      <c r="B112" s="335">
        <v>5</v>
      </c>
      <c r="C112" s="335">
        <v>1</v>
      </c>
      <c r="D112" s="335">
        <v>2</v>
      </c>
      <c r="E112" s="335">
        <v>3</v>
      </c>
      <c r="F112" s="335">
        <v>3</v>
      </c>
      <c r="G112" s="335">
        <v>2</v>
      </c>
      <c r="H112" s="335">
        <v>2</v>
      </c>
      <c r="I112" s="335"/>
      <c r="J112" s="335">
        <v>20</v>
      </c>
      <c r="K112" s="335"/>
      <c r="L112" s="335"/>
      <c r="M112" s="385"/>
      <c r="N112" s="199"/>
      <c r="O112" s="199"/>
      <c r="P112" s="199"/>
      <c r="Q112" s="199"/>
      <c r="R112" s="199"/>
      <c r="S112" s="199"/>
      <c r="T112" s="199"/>
      <c r="U112" s="199"/>
      <c r="V112" s="199"/>
      <c r="W112" s="199"/>
      <c r="X112" s="199"/>
      <c r="Y112" s="199"/>
      <c r="Z112" s="199"/>
      <c r="AA112" s="199"/>
      <c r="AB112" s="199"/>
      <c r="AC112" s="199"/>
      <c r="AD112" s="199"/>
      <c r="AE112" s="199"/>
      <c r="AF112" s="199"/>
      <c r="AG112" s="199"/>
      <c r="AH112" s="199"/>
      <c r="AI112" s="48"/>
      <c r="AJ112" s="48"/>
      <c r="AK112" s="48"/>
      <c r="AL112" s="48"/>
      <c r="AM112" s="48"/>
      <c r="AN112" s="48"/>
      <c r="AO112" s="48"/>
      <c r="AP112" s="48"/>
      <c r="AQ112" s="48"/>
      <c r="AR112" s="48"/>
      <c r="AS112" s="48"/>
      <c r="AT112" s="48"/>
      <c r="AU112" s="48"/>
      <c r="AV112" s="48"/>
      <c r="AW112" s="48"/>
      <c r="AX112" s="48"/>
      <c r="AY112" s="48"/>
      <c r="AZ112" s="48"/>
      <c r="BA112" s="48"/>
      <c r="BB112" s="48"/>
      <c r="BC112" s="48"/>
      <c r="BD112" s="48"/>
    </row>
    <row r="113" spans="1:56" x14ac:dyDescent="0.25">
      <c r="A113" s="437" t="str">
        <f>hth_skudasa&amp;" "&amp;5</f>
        <v>Skudasa 5</v>
      </c>
      <c r="B113" s="335">
        <v>5</v>
      </c>
      <c r="C113" s="335">
        <v>1</v>
      </c>
      <c r="D113" s="335">
        <v>2</v>
      </c>
      <c r="E113" s="335">
        <v>3</v>
      </c>
      <c r="F113" s="335">
        <v>3</v>
      </c>
      <c r="G113" s="335">
        <v>2</v>
      </c>
      <c r="H113" s="335">
        <v>2</v>
      </c>
      <c r="I113" s="335"/>
      <c r="J113" s="335">
        <v>20</v>
      </c>
      <c r="K113" s="335"/>
      <c r="L113" s="335"/>
      <c r="M113" s="385"/>
      <c r="N113" s="199"/>
      <c r="O113" s="199"/>
      <c r="P113" s="199"/>
      <c r="Q113" s="199"/>
      <c r="R113" s="199"/>
      <c r="S113" s="199"/>
      <c r="T113" s="199"/>
      <c r="U113" s="199"/>
      <c r="V113" s="199"/>
      <c r="W113" s="199"/>
      <c r="X113" s="199"/>
      <c r="Y113" s="199"/>
      <c r="Z113" s="199"/>
      <c r="AA113" s="199"/>
      <c r="AB113" s="199"/>
      <c r="AC113" s="199"/>
      <c r="AD113" s="199"/>
      <c r="AE113" s="199"/>
      <c r="AF113" s="199"/>
      <c r="AG113" s="199"/>
      <c r="AH113" s="199"/>
      <c r="AI113" s="48"/>
      <c r="AJ113" s="48"/>
      <c r="AK113" s="48"/>
      <c r="AL113" s="48"/>
      <c r="AM113" s="48"/>
      <c r="AN113" s="48"/>
      <c r="AO113" s="48"/>
      <c r="AP113" s="48"/>
      <c r="AQ113" s="48"/>
      <c r="AR113" s="48"/>
      <c r="AS113" s="48"/>
      <c r="AT113" s="48"/>
      <c r="AU113" s="48"/>
      <c r="AV113" s="48"/>
      <c r="AW113" s="48"/>
      <c r="AX113" s="48"/>
      <c r="AY113" s="48"/>
      <c r="AZ113" s="48"/>
      <c r="BA113" s="48"/>
      <c r="BB113" s="48"/>
      <c r="BC113" s="48"/>
      <c r="BD113" s="48"/>
    </row>
    <row r="114" spans="1:56" x14ac:dyDescent="0.25">
      <c r="A114" s="437" t="str">
        <f>hth_skudasa&amp;" "&amp;6</f>
        <v>Skudasa 6</v>
      </c>
      <c r="B114" s="335">
        <v>5</v>
      </c>
      <c r="C114" s="335">
        <v>1</v>
      </c>
      <c r="D114" s="335">
        <v>2</v>
      </c>
      <c r="E114" s="335">
        <v>3</v>
      </c>
      <c r="F114" s="335">
        <v>3</v>
      </c>
      <c r="G114" s="335">
        <v>2</v>
      </c>
      <c r="H114" s="335">
        <v>2</v>
      </c>
      <c r="I114" s="335"/>
      <c r="J114" s="385" t="s">
        <v>297</v>
      </c>
      <c r="K114" s="335"/>
      <c r="L114" s="335"/>
      <c r="M114" s="385"/>
      <c r="N114" s="199"/>
      <c r="O114" s="199"/>
      <c r="P114" s="199"/>
      <c r="Q114" s="199"/>
      <c r="R114" s="199"/>
      <c r="S114" s="199"/>
      <c r="T114" s="199"/>
      <c r="U114" s="199"/>
      <c r="V114" s="199"/>
      <c r="W114" s="199"/>
      <c r="X114" s="199"/>
      <c r="Y114" s="199"/>
      <c r="Z114" s="199"/>
      <c r="AA114" s="199"/>
      <c r="AB114" s="199"/>
      <c r="AC114" s="199"/>
      <c r="AD114" s="199"/>
      <c r="AE114" s="199"/>
      <c r="AF114" s="199"/>
      <c r="AG114" s="199"/>
      <c r="AH114" s="199"/>
      <c r="AI114" s="48"/>
      <c r="AJ114" s="48"/>
      <c r="AK114" s="48"/>
      <c r="AL114" s="48"/>
      <c r="AM114" s="48"/>
      <c r="AN114" s="48"/>
      <c r="AO114" s="48"/>
      <c r="AP114" s="48"/>
      <c r="AQ114" s="48"/>
      <c r="AR114" s="48"/>
      <c r="AS114" s="48"/>
      <c r="AT114" s="48"/>
      <c r="AU114" s="48"/>
      <c r="AV114" s="48"/>
      <c r="AW114" s="48"/>
      <c r="AX114" s="48"/>
      <c r="AY114" s="48"/>
      <c r="AZ114" s="48"/>
      <c r="BA114" s="48"/>
      <c r="BB114" s="48"/>
      <c r="BC114" s="48"/>
      <c r="BD114" s="48"/>
    </row>
    <row r="115" spans="1:56" x14ac:dyDescent="0.25">
      <c r="A115" s="437" t="str">
        <f>hth_skudasa&amp;" "&amp;7</f>
        <v>Skudasa 7</v>
      </c>
      <c r="B115" s="335">
        <v>5</v>
      </c>
      <c r="C115" s="335">
        <v>1</v>
      </c>
      <c r="D115" s="335">
        <v>2</v>
      </c>
      <c r="E115" s="335">
        <v>3</v>
      </c>
      <c r="F115" s="335">
        <v>3</v>
      </c>
      <c r="G115" s="335">
        <v>2</v>
      </c>
      <c r="H115" s="335">
        <v>2</v>
      </c>
      <c r="I115" s="335"/>
      <c r="J115" s="385" t="s">
        <v>297</v>
      </c>
      <c r="K115" s="335"/>
      <c r="L115" s="335"/>
      <c r="M115" s="385"/>
      <c r="N115" s="199"/>
      <c r="O115" s="199"/>
      <c r="P115" s="199"/>
      <c r="Q115" s="199"/>
      <c r="R115" s="199"/>
      <c r="S115" s="199"/>
      <c r="T115" s="199"/>
      <c r="U115" s="199"/>
      <c r="V115" s="199"/>
      <c r="W115" s="199"/>
      <c r="X115" s="199"/>
      <c r="Y115" s="199"/>
      <c r="Z115" s="199"/>
      <c r="AA115" s="199"/>
      <c r="AB115" s="199"/>
      <c r="AC115" s="199"/>
      <c r="AD115" s="199"/>
      <c r="AE115" s="199"/>
      <c r="AF115" s="199"/>
      <c r="AG115" s="199"/>
      <c r="AH115" s="199"/>
      <c r="AI115" s="48"/>
      <c r="AJ115" s="48"/>
      <c r="AK115" s="48"/>
      <c r="AL115" s="48"/>
      <c r="AM115" s="48"/>
      <c r="AN115" s="48"/>
      <c r="AO115" s="48"/>
      <c r="AP115" s="48"/>
      <c r="AQ115" s="48"/>
      <c r="AR115" s="48"/>
      <c r="AS115" s="48"/>
      <c r="AT115" s="48"/>
      <c r="AU115" s="48"/>
      <c r="AV115" s="48"/>
      <c r="AW115" s="48"/>
      <c r="AX115" s="48"/>
      <c r="AY115" s="48"/>
      <c r="AZ115" s="48"/>
      <c r="BA115" s="48"/>
      <c r="BB115" s="48"/>
      <c r="BC115" s="48"/>
      <c r="BD115" s="48"/>
    </row>
    <row r="116" spans="1:56" x14ac:dyDescent="0.25">
      <c r="A116" s="437" t="str">
        <f>hth_skudasa&amp;" "&amp;8</f>
        <v>Skudasa 8</v>
      </c>
      <c r="B116" s="335">
        <v>5</v>
      </c>
      <c r="C116" s="335">
        <v>2</v>
      </c>
      <c r="D116" s="335">
        <v>2</v>
      </c>
      <c r="E116" s="335">
        <v>3</v>
      </c>
      <c r="F116" s="335">
        <v>3</v>
      </c>
      <c r="G116" s="335">
        <v>2</v>
      </c>
      <c r="H116" s="335">
        <v>4</v>
      </c>
      <c r="I116" s="335"/>
      <c r="J116" s="385" t="s">
        <v>297</v>
      </c>
      <c r="K116" s="335"/>
      <c r="L116" s="335"/>
      <c r="M116" s="385"/>
      <c r="N116" s="199"/>
      <c r="O116" s="199"/>
      <c r="P116" s="199"/>
      <c r="Q116" s="199"/>
      <c r="R116" s="199"/>
      <c r="S116" s="199"/>
      <c r="T116" s="199"/>
      <c r="U116" s="199"/>
      <c r="V116" s="199"/>
      <c r="W116" s="199"/>
      <c r="X116" s="199"/>
      <c r="Y116" s="199"/>
      <c r="Z116" s="199"/>
      <c r="AA116" s="199"/>
      <c r="AB116" s="199"/>
      <c r="AC116" s="199"/>
      <c r="AD116" s="199"/>
      <c r="AE116" s="199"/>
      <c r="AF116" s="199"/>
      <c r="AG116" s="199"/>
      <c r="AH116" s="199"/>
      <c r="AI116" s="48"/>
      <c r="AJ116" s="48"/>
      <c r="AK116" s="48"/>
      <c r="AL116" s="48"/>
      <c r="AM116" s="48"/>
      <c r="AN116" s="48"/>
      <c r="AO116" s="48"/>
      <c r="AP116" s="48"/>
      <c r="AQ116" s="48"/>
      <c r="AR116" s="48"/>
      <c r="AS116" s="48"/>
      <c r="AT116" s="48"/>
      <c r="AU116" s="48"/>
      <c r="AV116" s="48"/>
      <c r="AW116" s="48"/>
      <c r="AX116" s="48"/>
      <c r="AY116" s="48"/>
      <c r="AZ116" s="48"/>
      <c r="BA116" s="48"/>
      <c r="BB116" s="48"/>
      <c r="BC116" s="48"/>
      <c r="BD116" s="48"/>
    </row>
    <row r="117" spans="1:56" x14ac:dyDescent="0.25">
      <c r="A117" s="437" t="str">
        <f>hth_skudasa&amp;" "&amp;9</f>
        <v>Skudasa 9</v>
      </c>
      <c r="B117" s="335">
        <v>6</v>
      </c>
      <c r="C117" s="335">
        <v>2</v>
      </c>
      <c r="D117" s="335">
        <v>2</v>
      </c>
      <c r="E117" s="335">
        <v>3</v>
      </c>
      <c r="F117" s="335">
        <v>3</v>
      </c>
      <c r="G117" s="335">
        <v>2</v>
      </c>
      <c r="H117" s="335">
        <v>4</v>
      </c>
      <c r="I117" s="335"/>
      <c r="J117" s="385" t="s">
        <v>297</v>
      </c>
      <c r="K117" s="335"/>
      <c r="L117" s="335"/>
      <c r="M117" s="385"/>
      <c r="N117" s="199"/>
      <c r="O117" s="199"/>
      <c r="P117" s="199"/>
      <c r="Q117" s="199"/>
      <c r="R117" s="199"/>
      <c r="S117" s="199"/>
      <c r="T117" s="199"/>
      <c r="U117" s="199"/>
      <c r="V117" s="199"/>
      <c r="W117" s="199"/>
      <c r="X117" s="199"/>
      <c r="Y117" s="199"/>
      <c r="Z117" s="199"/>
      <c r="AA117" s="199"/>
      <c r="AB117" s="199"/>
      <c r="AC117" s="199"/>
      <c r="AD117" s="199"/>
      <c r="AE117" s="199"/>
      <c r="AF117" s="199"/>
      <c r="AG117" s="199"/>
      <c r="AH117" s="199"/>
      <c r="AI117" s="48"/>
      <c r="AJ117" s="48"/>
      <c r="AK117" s="48"/>
      <c r="AL117" s="48"/>
      <c r="AM117" s="48"/>
      <c r="AN117" s="48"/>
      <c r="AO117" s="48"/>
      <c r="AP117" s="48"/>
      <c r="AQ117" s="48"/>
      <c r="AR117" s="48"/>
      <c r="AS117" s="48"/>
      <c r="AT117" s="48"/>
      <c r="AU117" s="48"/>
      <c r="AV117" s="48"/>
      <c r="AW117" s="48"/>
      <c r="AX117" s="48"/>
      <c r="AY117" s="48"/>
      <c r="AZ117" s="48"/>
      <c r="BA117" s="48"/>
      <c r="BB117" s="48"/>
      <c r="BC117" s="48"/>
      <c r="BD117" s="48"/>
    </row>
    <row r="118" spans="1:56" x14ac:dyDescent="0.25">
      <c r="A118" s="437" t="str">
        <f>hth_skudasa&amp;" "&amp;10</f>
        <v>Skudasa 10</v>
      </c>
      <c r="B118" s="335">
        <v>6</v>
      </c>
      <c r="C118" s="335">
        <v>2</v>
      </c>
      <c r="D118" s="335">
        <v>2</v>
      </c>
      <c r="E118" s="335">
        <v>5</v>
      </c>
      <c r="F118" s="335">
        <v>5</v>
      </c>
      <c r="G118" s="335">
        <v>2</v>
      </c>
      <c r="H118" s="335">
        <v>4</v>
      </c>
      <c r="I118" s="335"/>
      <c r="J118" s="385" t="s">
        <v>297</v>
      </c>
      <c r="K118" s="335"/>
      <c r="L118" s="335"/>
      <c r="M118" s="385"/>
      <c r="N118" s="199"/>
      <c r="O118" s="199"/>
      <c r="P118" s="199"/>
      <c r="Q118" s="199"/>
      <c r="R118" s="199"/>
      <c r="S118" s="199"/>
      <c r="T118" s="199"/>
      <c r="U118" s="199"/>
      <c r="V118" s="199"/>
      <c r="W118" s="199"/>
      <c r="X118" s="199"/>
      <c r="Y118" s="199"/>
      <c r="Z118" s="199"/>
      <c r="AA118" s="199"/>
      <c r="AB118" s="199"/>
      <c r="AC118" s="199"/>
      <c r="AD118" s="199"/>
      <c r="AE118" s="199"/>
      <c r="AF118" s="199"/>
      <c r="AG118" s="199"/>
      <c r="AH118" s="199"/>
      <c r="AI118" s="48"/>
      <c r="AJ118" s="48"/>
      <c r="AK118" s="48"/>
      <c r="AL118" s="48"/>
      <c r="AM118" s="48"/>
      <c r="AN118" s="48"/>
      <c r="AO118" s="48"/>
      <c r="AP118" s="48"/>
      <c r="AQ118" s="48"/>
      <c r="AR118" s="48"/>
      <c r="AS118" s="48"/>
      <c r="AT118" s="48"/>
      <c r="AU118" s="48"/>
      <c r="AV118" s="48"/>
      <c r="AW118" s="48"/>
      <c r="AX118" s="48"/>
      <c r="AY118" s="48"/>
      <c r="AZ118" s="48"/>
      <c r="BA118" s="48"/>
      <c r="BB118" s="48"/>
      <c r="BC118" s="48"/>
      <c r="BD118" s="48"/>
    </row>
    <row r="119" spans="1:56" x14ac:dyDescent="0.25">
      <c r="A119" s="437" t="str">
        <f>hth_skudasa&amp;" "&amp;11</f>
        <v>Skudasa 11</v>
      </c>
      <c r="B119" s="335">
        <v>6</v>
      </c>
      <c r="C119" s="335">
        <v>3</v>
      </c>
      <c r="D119" s="335">
        <v>2</v>
      </c>
      <c r="E119" s="335">
        <v>5</v>
      </c>
      <c r="F119" s="335">
        <v>5</v>
      </c>
      <c r="G119" s="335">
        <v>2</v>
      </c>
      <c r="H119" s="335">
        <v>4</v>
      </c>
      <c r="I119" s="335"/>
      <c r="J119" s="385" t="s">
        <v>297</v>
      </c>
      <c r="K119" s="335"/>
      <c r="L119" s="335"/>
      <c r="M119" s="385"/>
      <c r="N119" s="199"/>
      <c r="O119" s="199"/>
      <c r="P119" s="199"/>
      <c r="Q119" s="199"/>
      <c r="R119" s="199"/>
      <c r="S119" s="199"/>
      <c r="T119" s="199"/>
      <c r="U119" s="199"/>
      <c r="V119" s="199"/>
      <c r="W119" s="199"/>
      <c r="X119" s="199"/>
      <c r="Y119" s="199"/>
      <c r="Z119" s="199"/>
      <c r="AA119" s="199"/>
      <c r="AB119" s="199"/>
      <c r="AC119" s="199"/>
      <c r="AD119" s="199"/>
      <c r="AE119" s="199"/>
      <c r="AF119" s="199"/>
      <c r="AG119" s="199"/>
      <c r="AH119" s="199"/>
      <c r="AI119" s="48"/>
      <c r="AJ119" s="48"/>
      <c r="AK119" s="48"/>
      <c r="AL119" s="48"/>
      <c r="AM119" s="48"/>
      <c r="AN119" s="48"/>
      <c r="AO119" s="48"/>
      <c r="AP119" s="48"/>
      <c r="AQ119" s="48"/>
      <c r="AR119" s="48"/>
      <c r="AS119" s="48"/>
      <c r="AT119" s="48"/>
      <c r="AU119" s="48"/>
      <c r="AV119" s="48"/>
      <c r="AW119" s="48"/>
      <c r="AX119" s="48"/>
      <c r="AY119" s="48"/>
      <c r="AZ119" s="48"/>
      <c r="BA119" s="48"/>
      <c r="BB119" s="48"/>
      <c r="BC119" s="48"/>
      <c r="BD119" s="48"/>
    </row>
    <row r="120" spans="1:56" x14ac:dyDescent="0.25">
      <c r="A120" s="437" t="str">
        <f>hth_skudasa&amp;" "&amp;12</f>
        <v>Skudasa 12</v>
      </c>
      <c r="B120" s="335">
        <v>6</v>
      </c>
      <c r="C120" s="335">
        <v>3</v>
      </c>
      <c r="D120" s="335">
        <v>2</v>
      </c>
      <c r="E120" s="335">
        <v>5</v>
      </c>
      <c r="F120" s="335">
        <v>5</v>
      </c>
      <c r="G120" s="335">
        <v>2</v>
      </c>
      <c r="H120" s="335">
        <v>4</v>
      </c>
      <c r="I120" s="335"/>
      <c r="J120" s="385" t="s">
        <v>297</v>
      </c>
      <c r="K120" s="335"/>
      <c r="L120" s="335">
        <v>20</v>
      </c>
      <c r="M120" s="385"/>
      <c r="N120" s="199"/>
      <c r="O120" s="199"/>
      <c r="P120" s="199"/>
      <c r="Q120" s="199"/>
      <c r="R120" s="199"/>
      <c r="S120" s="199"/>
      <c r="T120" s="199"/>
      <c r="U120" s="199"/>
      <c r="V120" s="199"/>
      <c r="W120" s="199"/>
      <c r="X120" s="199"/>
      <c r="Y120" s="199"/>
      <c r="Z120" s="199"/>
      <c r="AA120" s="199"/>
      <c r="AB120" s="199"/>
      <c r="AC120" s="199"/>
      <c r="AD120" s="199"/>
      <c r="AE120" s="199"/>
      <c r="AF120" s="199"/>
      <c r="AG120" s="199"/>
      <c r="AH120" s="199"/>
      <c r="AI120" s="48"/>
      <c r="AJ120" s="48"/>
      <c r="AK120" s="48"/>
      <c r="AL120" s="48"/>
      <c r="AM120" s="48"/>
      <c r="AN120" s="48"/>
      <c r="AO120" s="48"/>
      <c r="AP120" s="48"/>
      <c r="AQ120" s="48"/>
      <c r="AR120" s="48"/>
      <c r="AS120" s="48"/>
      <c r="AT120" s="48"/>
      <c r="AU120" s="48"/>
      <c r="AV120" s="48"/>
      <c r="AW120" s="48"/>
      <c r="AX120" s="48"/>
      <c r="AY120" s="48"/>
      <c r="AZ120" s="48"/>
      <c r="BA120" s="48"/>
      <c r="BB120" s="48"/>
      <c r="BC120" s="48"/>
      <c r="BD120" s="48"/>
    </row>
    <row r="121" spans="1:56" x14ac:dyDescent="0.25">
      <c r="A121" s="437" t="str">
        <f>hth_skudasa&amp;" "&amp;13</f>
        <v>Skudasa 13</v>
      </c>
      <c r="B121" s="335">
        <v>6</v>
      </c>
      <c r="C121" s="335">
        <v>3</v>
      </c>
      <c r="D121" s="335">
        <v>2</v>
      </c>
      <c r="E121" s="335">
        <v>5</v>
      </c>
      <c r="F121" s="335">
        <v>5</v>
      </c>
      <c r="G121" s="335">
        <v>2</v>
      </c>
      <c r="H121" s="335">
        <v>4</v>
      </c>
      <c r="I121" s="335">
        <v>2</v>
      </c>
      <c r="J121" s="385" t="s">
        <v>297</v>
      </c>
      <c r="K121" s="335"/>
      <c r="L121" s="335">
        <v>20</v>
      </c>
      <c r="M121" s="385"/>
      <c r="N121" s="199"/>
      <c r="O121" s="199"/>
      <c r="P121" s="199"/>
      <c r="Q121" s="199"/>
      <c r="R121" s="199"/>
      <c r="S121" s="199"/>
      <c r="T121" s="199"/>
      <c r="U121" s="199"/>
      <c r="V121" s="199"/>
      <c r="W121" s="199"/>
      <c r="X121" s="199"/>
      <c r="Y121" s="199"/>
      <c r="Z121" s="199"/>
      <c r="AA121" s="199"/>
      <c r="AB121" s="199"/>
      <c r="AC121" s="199"/>
      <c r="AD121" s="199"/>
      <c r="AE121" s="199"/>
      <c r="AF121" s="199"/>
      <c r="AG121" s="199"/>
      <c r="AH121" s="199"/>
      <c r="AI121" s="48"/>
      <c r="AJ121" s="48"/>
      <c r="AK121" s="48"/>
      <c r="AL121" s="48"/>
      <c r="AM121" s="48"/>
      <c r="AN121" s="48"/>
      <c r="AO121" s="48"/>
      <c r="AP121" s="48"/>
      <c r="AQ121" s="48"/>
      <c r="AR121" s="48"/>
      <c r="AS121" s="48"/>
      <c r="AT121" s="48"/>
      <c r="AU121" s="48"/>
      <c r="AV121" s="48"/>
      <c r="AW121" s="48"/>
      <c r="AX121" s="48"/>
      <c r="AY121" s="48"/>
      <c r="AZ121" s="48"/>
      <c r="BA121" s="48"/>
      <c r="BB121" s="48"/>
      <c r="BC121" s="48"/>
      <c r="BD121" s="48"/>
    </row>
    <row r="122" spans="1:56" x14ac:dyDescent="0.25">
      <c r="A122" s="437" t="str">
        <f>hth_skudasa&amp;" "&amp;14</f>
        <v>Skudasa 14</v>
      </c>
      <c r="B122" s="335">
        <v>7</v>
      </c>
      <c r="C122" s="335">
        <v>3</v>
      </c>
      <c r="D122" s="335">
        <v>2</v>
      </c>
      <c r="E122" s="335">
        <v>5</v>
      </c>
      <c r="F122" s="335">
        <v>5</v>
      </c>
      <c r="G122" s="335">
        <v>2</v>
      </c>
      <c r="H122" s="335">
        <v>4</v>
      </c>
      <c r="I122" s="335"/>
      <c r="J122" s="385" t="s">
        <v>297</v>
      </c>
      <c r="K122" s="335"/>
      <c r="L122" s="335">
        <v>20</v>
      </c>
      <c r="M122" s="385"/>
      <c r="N122" s="199"/>
      <c r="O122" s="199"/>
      <c r="P122" s="199"/>
      <c r="Q122" s="199"/>
      <c r="R122" s="199"/>
      <c r="S122" s="199"/>
      <c r="T122" s="199"/>
      <c r="U122" s="199"/>
      <c r="V122" s="199"/>
      <c r="W122" s="199"/>
      <c r="X122" s="199"/>
      <c r="Y122" s="199"/>
      <c r="Z122" s="199"/>
      <c r="AA122" s="199"/>
      <c r="AB122" s="199"/>
      <c r="AC122" s="199"/>
      <c r="AD122" s="199"/>
      <c r="AE122" s="199"/>
      <c r="AF122" s="199"/>
      <c r="AG122" s="199"/>
      <c r="AH122" s="199"/>
      <c r="AI122" s="48"/>
      <c r="AJ122" s="48"/>
      <c r="AK122" s="48"/>
      <c r="AL122" s="48"/>
      <c r="AM122" s="48"/>
      <c r="AN122" s="48"/>
      <c r="AO122" s="48"/>
      <c r="AP122" s="48"/>
      <c r="AQ122" s="48"/>
      <c r="AR122" s="48"/>
      <c r="AS122" s="48"/>
      <c r="AT122" s="48"/>
      <c r="AU122" s="48"/>
      <c r="AV122" s="48"/>
      <c r="AW122" s="48"/>
      <c r="AX122" s="48"/>
      <c r="AY122" s="48"/>
      <c r="AZ122" s="48"/>
      <c r="BA122" s="48"/>
      <c r="BB122" s="48"/>
      <c r="BC122" s="48"/>
      <c r="BD122" s="48"/>
    </row>
    <row r="123" spans="1:56" x14ac:dyDescent="0.25">
      <c r="A123" s="437" t="str">
        <f>hth_skudasa&amp;" "&amp;15</f>
        <v>Skudasa 15</v>
      </c>
      <c r="B123" s="335">
        <v>7</v>
      </c>
      <c r="C123" s="335">
        <v>3</v>
      </c>
      <c r="D123" s="335">
        <v>4</v>
      </c>
      <c r="E123" s="335">
        <v>5</v>
      </c>
      <c r="F123" s="335">
        <v>5</v>
      </c>
      <c r="G123" s="335">
        <v>2</v>
      </c>
      <c r="H123" s="335">
        <v>4</v>
      </c>
      <c r="I123" s="335"/>
      <c r="J123" s="385" t="s">
        <v>297</v>
      </c>
      <c r="K123" s="335"/>
      <c r="L123" s="335">
        <v>20</v>
      </c>
      <c r="M123" s="385" t="s">
        <v>275</v>
      </c>
      <c r="N123" s="199"/>
      <c r="O123" s="199"/>
      <c r="P123" s="199"/>
      <c r="Q123" s="199"/>
      <c r="R123" s="199"/>
      <c r="S123" s="199"/>
      <c r="T123" s="199"/>
      <c r="U123" s="199"/>
      <c r="V123" s="199"/>
      <c r="W123" s="199"/>
      <c r="X123" s="199"/>
      <c r="Y123" s="199"/>
      <c r="Z123" s="199"/>
      <c r="AA123" s="199"/>
      <c r="AB123" s="199"/>
      <c r="AC123" s="199"/>
      <c r="AD123" s="199"/>
      <c r="AE123" s="199"/>
      <c r="AF123" s="199"/>
      <c r="AG123" s="199"/>
      <c r="AH123" s="199"/>
      <c r="AI123" s="48"/>
      <c r="AJ123" s="48"/>
      <c r="AK123" s="48"/>
      <c r="AL123" s="48"/>
      <c r="AM123" s="48"/>
      <c r="AN123" s="48"/>
      <c r="AO123" s="48"/>
      <c r="AP123" s="48"/>
      <c r="AQ123" s="48"/>
      <c r="AR123" s="48"/>
      <c r="AS123" s="48"/>
      <c r="AT123" s="48"/>
      <c r="AU123" s="48"/>
      <c r="AV123" s="48"/>
      <c r="AW123" s="48"/>
      <c r="AX123" s="48"/>
      <c r="AY123" s="48"/>
      <c r="AZ123" s="48"/>
      <c r="BA123" s="48"/>
      <c r="BB123" s="48"/>
      <c r="BC123" s="48"/>
      <c r="BD123" s="48"/>
    </row>
    <row r="124" spans="1:56" x14ac:dyDescent="0.25">
      <c r="A124" s="462" t="str">
        <f>hth_custom&amp;" "&amp;1</f>
        <v xml:space="preserve"> 1</v>
      </c>
      <c r="B124" s="332">
        <f>Customize!K11</f>
        <v>1</v>
      </c>
      <c r="C124" s="332">
        <f>Customize!L11</f>
        <v>0</v>
      </c>
      <c r="D124" s="332">
        <f>Customize!M11</f>
        <v>0</v>
      </c>
      <c r="E124" s="332">
        <f>Customize!N11</f>
        <v>0</v>
      </c>
      <c r="F124" s="332">
        <f>Customize!O11</f>
        <v>0</v>
      </c>
      <c r="G124" s="332">
        <f>Customize!P11</f>
        <v>0</v>
      </c>
      <c r="H124" s="332">
        <f>Customize!Q11</f>
        <v>0</v>
      </c>
      <c r="I124" s="332">
        <f>Customize!R11</f>
        <v>0</v>
      </c>
      <c r="J124" s="332">
        <f>Customize!S11</f>
        <v>20</v>
      </c>
      <c r="K124" s="332">
        <f>Customize!T11</f>
        <v>0</v>
      </c>
      <c r="L124" s="332">
        <f>Customize!U11</f>
        <v>0</v>
      </c>
      <c r="M124" s="463"/>
      <c r="N124" s="199"/>
      <c r="O124" s="199"/>
      <c r="P124" s="199"/>
      <c r="Q124" s="199"/>
      <c r="R124" s="199"/>
      <c r="S124" s="199"/>
      <c r="T124" s="199"/>
      <c r="U124" s="199"/>
      <c r="V124" s="199"/>
      <c r="W124" s="199"/>
      <c r="X124" s="199"/>
      <c r="Y124" s="199"/>
      <c r="Z124" s="199"/>
      <c r="AA124" s="199"/>
      <c r="AB124" s="199"/>
      <c r="AC124" s="199"/>
      <c r="AD124" s="199"/>
      <c r="AE124" s="199"/>
      <c r="AF124" s="199"/>
      <c r="AG124" s="199"/>
      <c r="AH124" s="199"/>
    </row>
    <row r="125" spans="1:56" x14ac:dyDescent="0.25">
      <c r="A125" s="462" t="str">
        <f>hth_custom&amp;" "&amp;2</f>
        <v xml:space="preserve"> 2</v>
      </c>
      <c r="B125" s="332">
        <f>Customize!K12</f>
        <v>1</v>
      </c>
      <c r="C125" s="332">
        <f>Customize!L12</f>
        <v>0</v>
      </c>
      <c r="D125" s="332">
        <f>Customize!M12</f>
        <v>0</v>
      </c>
      <c r="E125" s="332">
        <f>Customize!N12</f>
        <v>0</v>
      </c>
      <c r="F125" s="332">
        <f>Customize!O12</f>
        <v>0</v>
      </c>
      <c r="G125" s="332">
        <f>Customize!P12</f>
        <v>0</v>
      </c>
      <c r="H125" s="332">
        <f>Customize!Q12</f>
        <v>0</v>
      </c>
      <c r="I125" s="332">
        <f>Customize!R12</f>
        <v>0</v>
      </c>
      <c r="J125" s="332">
        <f>Customize!S12</f>
        <v>20</v>
      </c>
      <c r="K125" s="332">
        <f>Customize!T12</f>
        <v>0</v>
      </c>
      <c r="L125" s="332">
        <f>Customize!U12</f>
        <v>0</v>
      </c>
      <c r="M125" s="463"/>
      <c r="N125" s="199"/>
      <c r="O125" s="199"/>
      <c r="P125" s="199"/>
      <c r="Q125" s="199"/>
      <c r="R125" s="199"/>
      <c r="S125" s="199"/>
      <c r="T125" s="199"/>
      <c r="U125" s="199"/>
      <c r="V125" s="199"/>
      <c r="W125" s="199"/>
      <c r="X125" s="199"/>
      <c r="Y125" s="199"/>
      <c r="Z125" s="199"/>
      <c r="AA125" s="199"/>
      <c r="AB125" s="199"/>
      <c r="AC125" s="199"/>
      <c r="AD125" s="199"/>
      <c r="AE125" s="199"/>
      <c r="AF125" s="199"/>
      <c r="AG125" s="199"/>
      <c r="AH125" s="199"/>
    </row>
    <row r="126" spans="1:56" x14ac:dyDescent="0.25">
      <c r="A126" s="462" t="str">
        <f>hth_custom&amp;" "&amp;3</f>
        <v xml:space="preserve"> 3</v>
      </c>
      <c r="B126" s="332">
        <f>Customize!K13</f>
        <v>1</v>
      </c>
      <c r="C126" s="332">
        <f>Customize!L13</f>
        <v>0</v>
      </c>
      <c r="D126" s="332">
        <f>Customize!M13</f>
        <v>0</v>
      </c>
      <c r="E126" s="332">
        <f>Customize!N13</f>
        <v>0</v>
      </c>
      <c r="F126" s="332">
        <f>Customize!O13</f>
        <v>0</v>
      </c>
      <c r="G126" s="332">
        <f>Customize!P13</f>
        <v>0</v>
      </c>
      <c r="H126" s="332">
        <f>Customize!Q13</f>
        <v>0</v>
      </c>
      <c r="I126" s="332">
        <f>Customize!R13</f>
        <v>0</v>
      </c>
      <c r="J126" s="332">
        <f>Customize!S13</f>
        <v>20</v>
      </c>
      <c r="K126" s="332">
        <f>Customize!T13</f>
        <v>0</v>
      </c>
      <c r="L126" s="332">
        <f>Customize!U13</f>
        <v>0</v>
      </c>
      <c r="M126" s="463"/>
      <c r="N126" s="199"/>
      <c r="O126" s="199"/>
      <c r="P126" s="199"/>
      <c r="Q126" s="199"/>
      <c r="R126" s="199"/>
      <c r="S126" s="199"/>
      <c r="T126" s="199"/>
      <c r="U126" s="199"/>
      <c r="V126" s="199"/>
      <c r="W126" s="199"/>
      <c r="X126" s="199"/>
      <c r="Y126" s="199"/>
      <c r="Z126" s="199"/>
      <c r="AA126" s="199"/>
      <c r="AB126" s="199"/>
      <c r="AC126" s="199"/>
      <c r="AD126" s="199"/>
      <c r="AE126" s="199"/>
      <c r="AF126" s="199"/>
      <c r="AG126" s="199"/>
      <c r="AH126" s="199"/>
    </row>
    <row r="127" spans="1:56" x14ac:dyDescent="0.25">
      <c r="A127" s="462" t="str">
        <f>hth_custom&amp;" "&amp;4</f>
        <v xml:space="preserve"> 4</v>
      </c>
      <c r="B127" s="332">
        <f>Customize!K14</f>
        <v>1</v>
      </c>
      <c r="C127" s="332">
        <f>Customize!L14</f>
        <v>0</v>
      </c>
      <c r="D127" s="332">
        <f>Customize!M14</f>
        <v>0</v>
      </c>
      <c r="E127" s="332">
        <f>Customize!N14</f>
        <v>0</v>
      </c>
      <c r="F127" s="332">
        <f>Customize!O14</f>
        <v>0</v>
      </c>
      <c r="G127" s="332">
        <f>Customize!P14</f>
        <v>0</v>
      </c>
      <c r="H127" s="332">
        <f>Customize!Q14</f>
        <v>0</v>
      </c>
      <c r="I127" s="332">
        <f>Customize!R14</f>
        <v>0</v>
      </c>
      <c r="J127" s="332">
        <f>Customize!S14</f>
        <v>20</v>
      </c>
      <c r="K127" s="332">
        <f>Customize!T14</f>
        <v>0</v>
      </c>
      <c r="L127" s="332">
        <f>Customize!U14</f>
        <v>0</v>
      </c>
      <c r="M127" s="463"/>
      <c r="N127" s="199"/>
      <c r="O127" s="199"/>
      <c r="P127" s="199"/>
      <c r="Q127" s="199"/>
      <c r="R127" s="199"/>
      <c r="S127" s="199"/>
      <c r="T127" s="199"/>
      <c r="U127" s="199"/>
      <c r="V127" s="199"/>
      <c r="W127" s="199"/>
      <c r="X127" s="199"/>
      <c r="Y127" s="199"/>
      <c r="Z127" s="199"/>
      <c r="AA127" s="199"/>
      <c r="AB127" s="199"/>
      <c r="AC127" s="199"/>
      <c r="AD127" s="199"/>
      <c r="AE127" s="199"/>
      <c r="AF127" s="199"/>
      <c r="AG127" s="199"/>
      <c r="AH127" s="199"/>
    </row>
    <row r="128" spans="1:56" x14ac:dyDescent="0.25">
      <c r="A128" s="462" t="str">
        <f>hth_custom&amp;" "&amp;5</f>
        <v xml:space="preserve"> 5</v>
      </c>
      <c r="B128" s="332">
        <f>Customize!K15</f>
        <v>1</v>
      </c>
      <c r="C128" s="332">
        <f>Customize!L15</f>
        <v>0</v>
      </c>
      <c r="D128" s="332">
        <f>Customize!M15</f>
        <v>0</v>
      </c>
      <c r="E128" s="332">
        <f>Customize!N15</f>
        <v>0</v>
      </c>
      <c r="F128" s="332">
        <f>Customize!O15</f>
        <v>0</v>
      </c>
      <c r="G128" s="332">
        <f>Customize!P15</f>
        <v>0</v>
      </c>
      <c r="H128" s="332">
        <f>Customize!Q15</f>
        <v>0</v>
      </c>
      <c r="I128" s="332">
        <f>Customize!R15</f>
        <v>0</v>
      </c>
      <c r="J128" s="332">
        <f>Customize!S15</f>
        <v>20</v>
      </c>
      <c r="K128" s="332">
        <f>Customize!T15</f>
        <v>0</v>
      </c>
      <c r="L128" s="332">
        <f>Customize!U15</f>
        <v>0</v>
      </c>
      <c r="M128" s="463"/>
      <c r="N128" s="199"/>
      <c r="O128" s="199"/>
      <c r="P128" s="199"/>
      <c r="Q128" s="199"/>
      <c r="R128" s="199"/>
      <c r="S128" s="199"/>
      <c r="T128" s="199"/>
      <c r="U128" s="199"/>
      <c r="V128" s="199"/>
      <c r="W128" s="199"/>
      <c r="X128" s="199"/>
      <c r="Y128" s="199"/>
      <c r="Z128" s="199"/>
      <c r="AA128" s="199"/>
      <c r="AB128" s="199"/>
      <c r="AC128" s="199"/>
      <c r="AD128" s="199"/>
      <c r="AE128" s="199"/>
      <c r="AF128" s="199"/>
      <c r="AG128" s="199"/>
      <c r="AH128" s="199"/>
    </row>
    <row r="129" spans="1:56" x14ac:dyDescent="0.25">
      <c r="A129" s="462" t="str">
        <f>hth_custom&amp;" "&amp;6</f>
        <v xml:space="preserve"> 6</v>
      </c>
      <c r="B129" s="332">
        <f>Customize!K16</f>
        <v>2</v>
      </c>
      <c r="C129" s="332">
        <f>Customize!L16</f>
        <v>0</v>
      </c>
      <c r="D129" s="332">
        <f>Customize!M16</f>
        <v>0</v>
      </c>
      <c r="E129" s="332">
        <f>Customize!N16</f>
        <v>0</v>
      </c>
      <c r="F129" s="332">
        <f>Customize!O16</f>
        <v>0</v>
      </c>
      <c r="G129" s="332">
        <f>Customize!P16</f>
        <v>0</v>
      </c>
      <c r="H129" s="332">
        <f>Customize!Q16</f>
        <v>0</v>
      </c>
      <c r="I129" s="332">
        <f>Customize!R16</f>
        <v>0</v>
      </c>
      <c r="J129" s="332">
        <f>Customize!S16</f>
        <v>20</v>
      </c>
      <c r="K129" s="332">
        <f>Customize!T16</f>
        <v>0</v>
      </c>
      <c r="L129" s="332">
        <f>Customize!U16</f>
        <v>0</v>
      </c>
      <c r="M129" s="463"/>
      <c r="N129" s="199"/>
      <c r="O129" s="199"/>
      <c r="P129" s="199"/>
      <c r="Q129" s="199"/>
      <c r="R129" s="199"/>
      <c r="S129" s="199"/>
      <c r="T129" s="199"/>
      <c r="U129" s="199"/>
      <c r="V129" s="199"/>
      <c r="W129" s="199"/>
      <c r="X129" s="199"/>
      <c r="Y129" s="199"/>
      <c r="Z129" s="199"/>
      <c r="AA129" s="199"/>
      <c r="AB129" s="199"/>
      <c r="AC129" s="199"/>
      <c r="AD129" s="199"/>
      <c r="AE129" s="199"/>
      <c r="AF129" s="199"/>
      <c r="AG129" s="199"/>
      <c r="AH129" s="199"/>
    </row>
    <row r="130" spans="1:56" x14ac:dyDescent="0.25">
      <c r="A130" s="462" t="str">
        <f>hth_custom&amp;" "&amp;7</f>
        <v xml:space="preserve"> 7</v>
      </c>
      <c r="B130" s="332">
        <f>Customize!K17</f>
        <v>2</v>
      </c>
      <c r="C130" s="332">
        <f>Customize!L17</f>
        <v>0</v>
      </c>
      <c r="D130" s="332">
        <f>Customize!M17</f>
        <v>0</v>
      </c>
      <c r="E130" s="332">
        <f>Customize!N17</f>
        <v>0</v>
      </c>
      <c r="F130" s="332">
        <f>Customize!O17</f>
        <v>0</v>
      </c>
      <c r="G130" s="332">
        <f>Customize!P17</f>
        <v>0</v>
      </c>
      <c r="H130" s="332">
        <f>Customize!Q17</f>
        <v>0</v>
      </c>
      <c r="I130" s="332">
        <f>Customize!R17</f>
        <v>0</v>
      </c>
      <c r="J130" s="332">
        <f>Customize!S17</f>
        <v>20</v>
      </c>
      <c r="K130" s="332">
        <f>Customize!T17</f>
        <v>0</v>
      </c>
      <c r="L130" s="332">
        <f>Customize!U17</f>
        <v>0</v>
      </c>
      <c r="M130" s="463"/>
      <c r="N130" s="199"/>
      <c r="O130" s="199"/>
      <c r="P130" s="199"/>
      <c r="Q130" s="199"/>
      <c r="R130" s="199"/>
      <c r="S130" s="199"/>
      <c r="T130" s="199"/>
      <c r="U130" s="199"/>
      <c r="V130" s="199"/>
      <c r="W130" s="199"/>
      <c r="X130" s="199"/>
      <c r="Y130" s="199"/>
      <c r="Z130" s="199"/>
      <c r="AA130" s="199"/>
      <c r="AB130" s="199"/>
      <c r="AC130" s="199"/>
      <c r="AD130" s="199"/>
      <c r="AE130" s="199"/>
      <c r="AF130" s="199"/>
      <c r="AG130" s="199"/>
      <c r="AH130" s="199"/>
    </row>
    <row r="131" spans="1:56" x14ac:dyDescent="0.25">
      <c r="A131" s="462" t="str">
        <f>hth_custom&amp;" "&amp;8</f>
        <v xml:space="preserve"> 8</v>
      </c>
      <c r="B131" s="332">
        <f>Customize!K18</f>
        <v>2</v>
      </c>
      <c r="C131" s="332">
        <f>Customize!L18</f>
        <v>0</v>
      </c>
      <c r="D131" s="332">
        <f>Customize!M18</f>
        <v>0</v>
      </c>
      <c r="E131" s="332">
        <f>Customize!N18</f>
        <v>0</v>
      </c>
      <c r="F131" s="332">
        <f>Customize!O18</f>
        <v>0</v>
      </c>
      <c r="G131" s="332">
        <f>Customize!P18</f>
        <v>0</v>
      </c>
      <c r="H131" s="332">
        <f>Customize!Q18</f>
        <v>0</v>
      </c>
      <c r="I131" s="332">
        <f>Customize!R18</f>
        <v>0</v>
      </c>
      <c r="J131" s="332">
        <f>Customize!S18</f>
        <v>20</v>
      </c>
      <c r="K131" s="332">
        <f>Customize!T18</f>
        <v>0</v>
      </c>
      <c r="L131" s="332">
        <f>Customize!U18</f>
        <v>0</v>
      </c>
      <c r="M131" s="463"/>
      <c r="N131" s="199"/>
      <c r="O131" s="199"/>
      <c r="P131" s="199"/>
      <c r="Q131" s="199"/>
      <c r="R131" s="199"/>
      <c r="S131" s="199"/>
      <c r="T131" s="199"/>
      <c r="U131" s="199"/>
      <c r="V131" s="199"/>
      <c r="W131" s="199"/>
      <c r="X131" s="199"/>
      <c r="Y131" s="199"/>
      <c r="Z131" s="199"/>
      <c r="AA131" s="199"/>
      <c r="AB131" s="199"/>
      <c r="AC131" s="199"/>
      <c r="AD131" s="199"/>
      <c r="AE131" s="199"/>
      <c r="AF131" s="199"/>
      <c r="AG131" s="199"/>
      <c r="AH131" s="199"/>
    </row>
    <row r="132" spans="1:56" x14ac:dyDescent="0.25">
      <c r="A132" s="462" t="str">
        <f>hth_custom&amp;" "&amp;9</f>
        <v xml:space="preserve"> 9</v>
      </c>
      <c r="B132" s="332">
        <f>Customize!K19</f>
        <v>2</v>
      </c>
      <c r="C132" s="332">
        <f>Customize!L19</f>
        <v>0</v>
      </c>
      <c r="D132" s="332">
        <f>Customize!M19</f>
        <v>0</v>
      </c>
      <c r="E132" s="332">
        <f>Customize!N19</f>
        <v>0</v>
      </c>
      <c r="F132" s="332">
        <f>Customize!O19</f>
        <v>0</v>
      </c>
      <c r="G132" s="332">
        <f>Customize!P19</f>
        <v>0</v>
      </c>
      <c r="H132" s="332">
        <f>Customize!Q19</f>
        <v>0</v>
      </c>
      <c r="I132" s="332">
        <f>Customize!R19</f>
        <v>0</v>
      </c>
      <c r="J132" s="332">
        <f>Customize!S19</f>
        <v>20</v>
      </c>
      <c r="K132" s="332">
        <f>Customize!T19</f>
        <v>0</v>
      </c>
      <c r="L132" s="332">
        <f>Customize!U19</f>
        <v>0</v>
      </c>
      <c r="M132" s="463"/>
      <c r="N132" s="199"/>
      <c r="O132" s="199"/>
      <c r="P132" s="199"/>
      <c r="Q132" s="199"/>
      <c r="R132" s="199"/>
      <c r="S132" s="199"/>
      <c r="T132" s="199"/>
      <c r="U132" s="199"/>
      <c r="V132" s="199"/>
      <c r="W132" s="199"/>
      <c r="X132" s="199"/>
      <c r="Y132" s="199"/>
      <c r="Z132" s="199"/>
      <c r="AA132" s="199"/>
      <c r="AB132" s="199"/>
      <c r="AC132" s="199"/>
      <c r="AD132" s="199"/>
      <c r="AE132" s="199"/>
      <c r="AF132" s="199"/>
      <c r="AG132" s="199"/>
      <c r="AH132" s="199"/>
    </row>
    <row r="133" spans="1:56" x14ac:dyDescent="0.25">
      <c r="A133" s="462" t="str">
        <f>hth_custom&amp;" "&amp;10</f>
        <v xml:space="preserve"> 10</v>
      </c>
      <c r="B133" s="332">
        <f>Customize!K20</f>
        <v>2</v>
      </c>
      <c r="C133" s="332">
        <f>Customize!L20</f>
        <v>0</v>
      </c>
      <c r="D133" s="332">
        <f>Customize!M20</f>
        <v>0</v>
      </c>
      <c r="E133" s="332">
        <f>Customize!N20</f>
        <v>0</v>
      </c>
      <c r="F133" s="332">
        <f>Customize!O20</f>
        <v>0</v>
      </c>
      <c r="G133" s="332">
        <f>Customize!P20</f>
        <v>0</v>
      </c>
      <c r="H133" s="332">
        <f>Customize!Q20</f>
        <v>0</v>
      </c>
      <c r="I133" s="332">
        <f>Customize!R20</f>
        <v>0</v>
      </c>
      <c r="J133" s="332">
        <f>Customize!S20</f>
        <v>20</v>
      </c>
      <c r="K133" s="332">
        <f>Customize!T20</f>
        <v>0</v>
      </c>
      <c r="L133" s="332">
        <f>Customize!U20</f>
        <v>0</v>
      </c>
      <c r="M133" s="463"/>
      <c r="N133" s="199"/>
      <c r="O133" s="199"/>
      <c r="P133" s="199"/>
      <c r="Q133" s="199"/>
      <c r="R133" s="199"/>
      <c r="S133" s="199"/>
      <c r="T133" s="199"/>
      <c r="U133" s="199"/>
      <c r="V133" s="199"/>
      <c r="W133" s="199"/>
      <c r="X133" s="199"/>
      <c r="Y133" s="199"/>
      <c r="Z133" s="199"/>
      <c r="AA133" s="199"/>
      <c r="AB133" s="199"/>
      <c r="AC133" s="199"/>
      <c r="AD133" s="199"/>
      <c r="AE133" s="199"/>
      <c r="AF133" s="199"/>
      <c r="AG133" s="199"/>
      <c r="AH133" s="199"/>
    </row>
    <row r="134" spans="1:56" x14ac:dyDescent="0.25">
      <c r="A134" s="462" t="str">
        <f>hth_custom&amp;" "&amp;11</f>
        <v xml:space="preserve"> 11</v>
      </c>
      <c r="B134" s="332">
        <f>Customize!K21</f>
        <v>2</v>
      </c>
      <c r="C134" s="332">
        <f>Customize!L21</f>
        <v>0</v>
      </c>
      <c r="D134" s="332">
        <f>Customize!M21</f>
        <v>0</v>
      </c>
      <c r="E134" s="332">
        <f>Customize!N21</f>
        <v>0</v>
      </c>
      <c r="F134" s="332">
        <f>Customize!O21</f>
        <v>0</v>
      </c>
      <c r="G134" s="332">
        <f>Customize!P21</f>
        <v>0</v>
      </c>
      <c r="H134" s="332">
        <f>Customize!Q21</f>
        <v>0</v>
      </c>
      <c r="I134" s="332">
        <f>Customize!R21</f>
        <v>0</v>
      </c>
      <c r="J134" s="332">
        <f>Customize!S21</f>
        <v>20</v>
      </c>
      <c r="K134" s="332">
        <f>Customize!T21</f>
        <v>0</v>
      </c>
      <c r="L134" s="332">
        <f>Customize!U21</f>
        <v>0</v>
      </c>
      <c r="M134" s="463"/>
      <c r="N134" s="199"/>
      <c r="O134" s="199"/>
      <c r="P134" s="199"/>
      <c r="Q134" s="199"/>
      <c r="R134" s="199"/>
      <c r="S134" s="199"/>
      <c r="T134" s="199"/>
      <c r="U134" s="199"/>
      <c r="V134" s="199"/>
      <c r="W134" s="199"/>
      <c r="X134" s="199"/>
      <c r="Y134" s="199"/>
      <c r="Z134" s="199"/>
      <c r="AA134" s="199"/>
      <c r="AB134" s="199"/>
      <c r="AC134" s="199"/>
      <c r="AD134" s="199"/>
      <c r="AE134" s="199"/>
      <c r="AF134" s="199"/>
      <c r="AG134" s="199"/>
      <c r="AH134" s="199"/>
    </row>
    <row r="135" spans="1:56" x14ac:dyDescent="0.25">
      <c r="A135" s="462" t="str">
        <f>hth_custom&amp;" "&amp;12</f>
        <v xml:space="preserve"> 12</v>
      </c>
      <c r="B135" s="332">
        <f>Customize!K22</f>
        <v>3</v>
      </c>
      <c r="C135" s="332">
        <f>Customize!L22</f>
        <v>0</v>
      </c>
      <c r="D135" s="332">
        <f>Customize!M22</f>
        <v>0</v>
      </c>
      <c r="E135" s="332">
        <f>Customize!N22</f>
        <v>0</v>
      </c>
      <c r="F135" s="332">
        <f>Customize!O22</f>
        <v>0</v>
      </c>
      <c r="G135" s="332">
        <f>Customize!P22</f>
        <v>0</v>
      </c>
      <c r="H135" s="332">
        <f>Customize!Q22</f>
        <v>0</v>
      </c>
      <c r="I135" s="332">
        <f>Customize!R22</f>
        <v>0</v>
      </c>
      <c r="J135" s="332">
        <f>Customize!S22</f>
        <v>20</v>
      </c>
      <c r="K135" s="332">
        <f>Customize!T22</f>
        <v>0</v>
      </c>
      <c r="L135" s="332">
        <f>Customize!U22</f>
        <v>0</v>
      </c>
      <c r="M135" s="463"/>
      <c r="N135" s="199"/>
      <c r="O135" s="199"/>
      <c r="P135" s="199"/>
      <c r="Q135" s="199"/>
      <c r="R135" s="199"/>
      <c r="S135" s="199"/>
      <c r="T135" s="199"/>
      <c r="U135" s="199"/>
      <c r="V135" s="199"/>
      <c r="W135" s="199"/>
      <c r="X135" s="199"/>
      <c r="Y135" s="199"/>
      <c r="Z135" s="199"/>
      <c r="AA135" s="199"/>
      <c r="AB135" s="199"/>
      <c r="AC135" s="199"/>
      <c r="AD135" s="199"/>
      <c r="AE135" s="199"/>
      <c r="AF135" s="199"/>
      <c r="AG135" s="199"/>
      <c r="AH135" s="199"/>
    </row>
    <row r="136" spans="1:56" x14ac:dyDescent="0.25">
      <c r="A136" s="462" t="str">
        <f>hth_custom&amp;" "&amp;13</f>
        <v xml:space="preserve"> 13</v>
      </c>
      <c r="B136" s="332">
        <f>Customize!K23</f>
        <v>3</v>
      </c>
      <c r="C136" s="332">
        <f>Customize!L23</f>
        <v>0</v>
      </c>
      <c r="D136" s="332">
        <f>Customize!M23</f>
        <v>0</v>
      </c>
      <c r="E136" s="332">
        <f>Customize!N23</f>
        <v>0</v>
      </c>
      <c r="F136" s="332">
        <f>Customize!O23</f>
        <v>0</v>
      </c>
      <c r="G136" s="332">
        <f>Customize!P23</f>
        <v>0</v>
      </c>
      <c r="H136" s="332">
        <f>Customize!Q23</f>
        <v>0</v>
      </c>
      <c r="I136" s="332">
        <f>Customize!R23</f>
        <v>0</v>
      </c>
      <c r="J136" s="332">
        <f>Customize!S23</f>
        <v>20</v>
      </c>
      <c r="K136" s="332">
        <f>Customize!T23</f>
        <v>0</v>
      </c>
      <c r="L136" s="332">
        <f>Customize!U23</f>
        <v>0</v>
      </c>
      <c r="M136" s="463"/>
      <c r="N136" s="199"/>
      <c r="O136" s="199"/>
      <c r="P136" s="199"/>
      <c r="Q136" s="199"/>
      <c r="R136" s="199"/>
      <c r="S136" s="199"/>
      <c r="T136" s="199"/>
      <c r="U136" s="199"/>
      <c r="V136" s="199"/>
      <c r="W136" s="199"/>
      <c r="X136" s="199"/>
      <c r="Y136" s="199"/>
      <c r="Z136" s="199"/>
      <c r="AA136" s="199"/>
      <c r="AB136" s="199"/>
      <c r="AC136" s="199"/>
      <c r="AD136" s="199"/>
      <c r="AE136" s="199"/>
      <c r="AF136" s="199"/>
      <c r="AG136" s="199"/>
      <c r="AH136" s="199"/>
    </row>
    <row r="137" spans="1:56" x14ac:dyDescent="0.25">
      <c r="A137" s="462" t="str">
        <f>hth_custom&amp;" "&amp;14</f>
        <v xml:space="preserve"> 14</v>
      </c>
      <c r="B137" s="332">
        <f>Customize!K24</f>
        <v>3</v>
      </c>
      <c r="C137" s="332">
        <f>Customize!L24</f>
        <v>0</v>
      </c>
      <c r="D137" s="332">
        <f>Customize!M24</f>
        <v>0</v>
      </c>
      <c r="E137" s="332">
        <f>Customize!N24</f>
        <v>0</v>
      </c>
      <c r="F137" s="332">
        <f>Customize!O24</f>
        <v>0</v>
      </c>
      <c r="G137" s="332">
        <f>Customize!P24</f>
        <v>0</v>
      </c>
      <c r="H137" s="332">
        <f>Customize!Q24</f>
        <v>0</v>
      </c>
      <c r="I137" s="332">
        <f>Customize!R24</f>
        <v>0</v>
      </c>
      <c r="J137" s="332">
        <f>Customize!S24</f>
        <v>20</v>
      </c>
      <c r="K137" s="332">
        <f>Customize!T24</f>
        <v>0</v>
      </c>
      <c r="L137" s="332">
        <f>Customize!U24</f>
        <v>0</v>
      </c>
      <c r="M137" s="463"/>
      <c r="N137" s="199"/>
      <c r="O137" s="199"/>
      <c r="P137" s="199"/>
      <c r="Q137" s="199"/>
      <c r="R137" s="199"/>
      <c r="S137" s="199"/>
      <c r="T137" s="199"/>
      <c r="U137" s="199"/>
      <c r="V137" s="199"/>
      <c r="W137" s="199"/>
      <c r="X137" s="199"/>
      <c r="Y137" s="199"/>
      <c r="Z137" s="199"/>
      <c r="AA137" s="199"/>
      <c r="AB137" s="199"/>
      <c r="AC137" s="199"/>
      <c r="AD137" s="199"/>
      <c r="AE137" s="199"/>
      <c r="AF137" s="199"/>
      <c r="AG137" s="199"/>
      <c r="AH137" s="199"/>
    </row>
    <row r="138" spans="1:56" x14ac:dyDescent="0.25">
      <c r="A138" s="462" t="str">
        <f>hth_custom&amp;" "&amp;15</f>
        <v xml:space="preserve"> 15</v>
      </c>
      <c r="B138" s="332">
        <f>Customize!K25</f>
        <v>3</v>
      </c>
      <c r="C138" s="332">
        <f>Customize!L25</f>
        <v>0</v>
      </c>
      <c r="D138" s="332">
        <f>Customize!M25</f>
        <v>0</v>
      </c>
      <c r="E138" s="332">
        <f>Customize!N25</f>
        <v>0</v>
      </c>
      <c r="F138" s="332">
        <f>Customize!O25</f>
        <v>0</v>
      </c>
      <c r="G138" s="332">
        <f>Customize!P25</f>
        <v>0</v>
      </c>
      <c r="H138" s="332">
        <f>Customize!Q25</f>
        <v>0</v>
      </c>
      <c r="I138" s="332">
        <f>Customize!R25</f>
        <v>0</v>
      </c>
      <c r="J138" s="332">
        <f>Customize!S25</f>
        <v>20</v>
      </c>
      <c r="K138" s="332">
        <f>Customize!T25</f>
        <v>0</v>
      </c>
      <c r="L138" s="332">
        <f>Customize!U25</f>
        <v>0</v>
      </c>
      <c r="M138" s="463"/>
      <c r="N138" s="199"/>
      <c r="O138" s="199"/>
      <c r="P138" s="199"/>
      <c r="Q138" s="199"/>
      <c r="R138" s="199"/>
      <c r="S138" s="199"/>
      <c r="T138" s="199"/>
      <c r="U138" s="199"/>
      <c r="V138" s="199"/>
      <c r="W138" s="199"/>
      <c r="X138" s="199"/>
      <c r="Y138" s="199"/>
      <c r="Z138" s="199"/>
      <c r="AA138" s="199"/>
      <c r="AB138" s="199"/>
      <c r="AC138" s="199"/>
      <c r="AD138" s="199"/>
      <c r="AE138" s="199"/>
      <c r="AF138" s="199"/>
      <c r="AG138" s="199"/>
      <c r="AH138" s="199"/>
    </row>
    <row r="139" spans="1:56" x14ac:dyDescent="0.25">
      <c r="A139" s="199"/>
      <c r="B139" s="199"/>
      <c r="C139" s="199"/>
      <c r="D139" s="199"/>
      <c r="E139" s="199"/>
      <c r="F139" s="199"/>
      <c r="G139" s="199"/>
      <c r="H139" s="199"/>
      <c r="I139" s="199"/>
      <c r="J139" s="199"/>
      <c r="K139" s="199"/>
      <c r="L139" s="199"/>
      <c r="M139" s="199"/>
      <c r="N139" s="199"/>
      <c r="O139" s="199"/>
      <c r="P139" s="199"/>
      <c r="Q139" s="199"/>
      <c r="R139" s="199"/>
      <c r="S139" s="199"/>
      <c r="T139" s="199"/>
      <c r="U139" s="199"/>
      <c r="V139" s="199"/>
      <c r="W139" s="199"/>
      <c r="X139" s="199"/>
      <c r="Y139" s="199"/>
      <c r="Z139" s="199"/>
      <c r="AA139" s="199"/>
      <c r="AB139" s="199"/>
      <c r="AC139" s="199"/>
      <c r="AD139" s="199"/>
      <c r="AE139" s="199"/>
      <c r="AF139" s="199"/>
      <c r="AG139" s="199"/>
      <c r="AH139" s="199"/>
      <c r="AI139" s="48"/>
      <c r="AJ139" s="48"/>
      <c r="AK139" s="48"/>
      <c r="AL139" s="48"/>
      <c r="AM139" s="48"/>
      <c r="AN139" s="48"/>
      <c r="AO139" s="48"/>
      <c r="AP139" s="48"/>
      <c r="AQ139" s="48"/>
      <c r="AR139" s="48"/>
      <c r="AS139" s="48"/>
      <c r="AT139" s="48"/>
      <c r="AU139" s="48"/>
      <c r="AV139" s="48"/>
      <c r="AW139" s="48"/>
      <c r="AX139" s="48"/>
      <c r="AY139" s="48"/>
      <c r="AZ139" s="48"/>
      <c r="BA139" s="48"/>
      <c r="BB139" s="48"/>
      <c r="BC139" s="48"/>
      <c r="BD139" s="48"/>
    </row>
    <row r="140" spans="1:56" x14ac:dyDescent="0.25">
      <c r="A140" s="199"/>
      <c r="B140" s="199"/>
      <c r="C140" s="199"/>
      <c r="D140" s="199"/>
      <c r="E140" s="199"/>
      <c r="F140" s="199"/>
      <c r="G140" s="199"/>
      <c r="H140" s="199"/>
      <c r="I140" s="199"/>
      <c r="J140" s="199"/>
      <c r="K140" s="464"/>
      <c r="L140" s="199"/>
      <c r="M140" s="199"/>
      <c r="N140" s="199"/>
      <c r="O140" s="199"/>
      <c r="P140" s="199"/>
      <c r="Q140" s="199"/>
      <c r="R140" s="199"/>
      <c r="S140" s="199"/>
      <c r="T140" s="199"/>
      <c r="U140" s="199"/>
      <c r="V140" s="199"/>
      <c r="W140" s="199"/>
      <c r="X140" s="199"/>
      <c r="Y140" s="199"/>
      <c r="Z140" s="199"/>
      <c r="AA140" s="199"/>
      <c r="AB140" s="199"/>
      <c r="AC140" s="199"/>
      <c r="AD140" s="199"/>
      <c r="AE140" s="199"/>
      <c r="AF140" s="199"/>
      <c r="AG140" s="199"/>
      <c r="AH140" s="199"/>
      <c r="AI140" s="48"/>
      <c r="AJ140" s="48"/>
      <c r="AK140" s="48"/>
      <c r="AL140" s="48"/>
      <c r="AM140" s="48"/>
      <c r="AN140" s="48"/>
      <c r="AO140" s="48"/>
      <c r="AP140" s="48"/>
      <c r="AQ140" s="48"/>
      <c r="AR140" s="48"/>
      <c r="AS140" s="48"/>
      <c r="AT140" s="48"/>
      <c r="AU140" s="48"/>
      <c r="AV140" s="48"/>
      <c r="AW140" s="48"/>
      <c r="AX140" s="48"/>
      <c r="AY140" s="48"/>
      <c r="AZ140" s="48"/>
      <c r="BA140" s="48"/>
      <c r="BB140" s="48"/>
      <c r="BC140" s="48"/>
      <c r="BD140" s="48"/>
    </row>
    <row r="141" spans="1:56" x14ac:dyDescent="0.25">
      <c r="A141" s="199"/>
      <c r="B141" s="199"/>
      <c r="C141" s="199"/>
      <c r="D141" s="199"/>
      <c r="E141" s="199"/>
      <c r="F141" s="199"/>
      <c r="G141" s="199"/>
      <c r="H141" s="199"/>
      <c r="I141" s="199"/>
      <c r="J141" s="464"/>
      <c r="K141" s="464"/>
      <c r="L141" s="199"/>
      <c r="M141" s="199"/>
      <c r="N141" s="199"/>
      <c r="O141" s="199"/>
      <c r="P141" s="199"/>
      <c r="Q141" s="199"/>
      <c r="R141" s="199"/>
      <c r="S141" s="199"/>
      <c r="T141" s="199"/>
      <c r="U141" s="199"/>
      <c r="V141" s="199"/>
      <c r="W141" s="199"/>
      <c r="X141" s="199"/>
      <c r="Y141" s="199"/>
      <c r="Z141" s="199"/>
      <c r="AA141" s="199"/>
      <c r="AB141" s="199"/>
      <c r="AC141" s="199"/>
      <c r="AD141" s="199"/>
      <c r="AE141" s="199"/>
      <c r="AF141" s="199"/>
      <c r="AG141" s="199"/>
      <c r="AH141" s="199"/>
      <c r="AI141" s="48"/>
      <c r="AJ141" s="48"/>
      <c r="AK141" s="48"/>
      <c r="AL141" s="48"/>
      <c r="AM141" s="48"/>
      <c r="AN141" s="48"/>
      <c r="AO141" s="48"/>
      <c r="AP141" s="48"/>
      <c r="AQ141" s="48"/>
      <c r="AR141" s="48"/>
      <c r="AS141" s="48"/>
      <c r="AT141" s="48"/>
      <c r="AU141" s="48"/>
      <c r="AV141" s="48"/>
      <c r="AW141" s="48"/>
      <c r="AX141" s="48"/>
      <c r="AY141" s="48"/>
      <c r="AZ141" s="48"/>
      <c r="BA141" s="48"/>
      <c r="BB141" s="48"/>
      <c r="BC141" s="48"/>
      <c r="BD141" s="48"/>
    </row>
    <row r="142" spans="1:56" x14ac:dyDescent="0.25">
      <c r="A142" s="210"/>
      <c r="B142" s="210"/>
      <c r="C142" s="210"/>
      <c r="D142" s="210"/>
      <c r="E142" s="210"/>
      <c r="F142" s="210"/>
      <c r="G142" s="210"/>
      <c r="H142" s="210"/>
      <c r="I142" s="199"/>
      <c r="J142" s="464"/>
      <c r="K142" s="464"/>
      <c r="L142" s="199"/>
      <c r="M142" s="199"/>
      <c r="N142" s="199"/>
      <c r="O142" s="199"/>
      <c r="P142" s="199"/>
      <c r="Q142" s="199"/>
      <c r="R142" s="199"/>
      <c r="S142" s="199"/>
      <c r="T142" s="199"/>
      <c r="U142" s="199"/>
      <c r="V142" s="199"/>
      <c r="W142" s="199"/>
      <c r="X142" s="199"/>
      <c r="Y142" s="199"/>
      <c r="Z142" s="199"/>
      <c r="AA142" s="199"/>
      <c r="AB142" s="199"/>
      <c r="AC142" s="199"/>
      <c r="AD142" s="199"/>
      <c r="AE142" s="199"/>
      <c r="AF142" s="199"/>
      <c r="AG142" s="199"/>
      <c r="AH142" s="199"/>
      <c r="AI142" s="48"/>
      <c r="AJ142" s="48"/>
      <c r="AK142" s="48"/>
      <c r="AL142" s="48"/>
      <c r="AM142" s="48"/>
      <c r="AN142" s="48"/>
      <c r="AO142" s="48"/>
      <c r="AP142" s="48"/>
      <c r="AQ142" s="48"/>
      <c r="AR142" s="48"/>
      <c r="AS142" s="48"/>
      <c r="AT142" s="48"/>
      <c r="AU142" s="48"/>
      <c r="AV142" s="48"/>
      <c r="AW142" s="48"/>
      <c r="AX142" s="48"/>
      <c r="AY142" s="48"/>
      <c r="AZ142" s="48"/>
      <c r="BA142" s="48"/>
      <c r="BB142" s="48"/>
      <c r="BC142" s="48"/>
      <c r="BD142" s="48"/>
    </row>
    <row r="143" spans="1:56" x14ac:dyDescent="0.25">
      <c r="A143" s="199"/>
      <c r="B143" s="199"/>
      <c r="C143" s="199"/>
      <c r="D143" s="199"/>
      <c r="E143" s="199"/>
      <c r="F143" s="199"/>
      <c r="G143" s="199"/>
      <c r="H143" s="199"/>
      <c r="I143" s="199"/>
      <c r="J143" s="199"/>
      <c r="K143" s="199"/>
      <c r="L143" s="199"/>
      <c r="M143" s="199"/>
      <c r="N143" s="199"/>
      <c r="O143" s="199"/>
      <c r="P143" s="199"/>
      <c r="Q143" s="199"/>
      <c r="R143" s="199"/>
      <c r="S143" s="199"/>
      <c r="T143" s="199"/>
      <c r="U143" s="199"/>
      <c r="V143" s="199"/>
      <c r="W143" s="199"/>
      <c r="X143" s="199"/>
      <c r="Y143" s="199"/>
      <c r="Z143" s="199"/>
      <c r="AA143" s="199"/>
      <c r="AB143" s="199"/>
      <c r="AC143" s="199"/>
      <c r="AD143" s="199"/>
      <c r="AE143" s="199"/>
      <c r="AF143" s="199"/>
      <c r="AG143" s="199"/>
      <c r="AH143" s="199"/>
      <c r="AI143" s="48"/>
      <c r="AJ143" s="48"/>
      <c r="AK143" s="48"/>
      <c r="AL143" s="48"/>
      <c r="AM143" s="48"/>
      <c r="AN143" s="48"/>
      <c r="AO143" s="48"/>
      <c r="AP143" s="48"/>
      <c r="AQ143" s="48"/>
      <c r="AR143" s="48"/>
      <c r="AS143" s="48"/>
      <c r="AT143" s="48"/>
      <c r="AU143" s="48"/>
      <c r="AV143" s="48"/>
      <c r="AW143" s="48"/>
      <c r="AX143" s="48"/>
      <c r="AY143" s="48"/>
      <c r="AZ143" s="48"/>
      <c r="BA143" s="48"/>
      <c r="BB143" s="48"/>
      <c r="BC143" s="48"/>
      <c r="BD143" s="48"/>
    </row>
    <row r="144" spans="1:56" x14ac:dyDescent="0.25">
      <c r="A144" s="199"/>
      <c r="B144" s="199"/>
      <c r="C144" s="199"/>
      <c r="D144" s="199"/>
      <c r="E144" s="199"/>
      <c r="F144" s="199"/>
      <c r="G144" s="199"/>
      <c r="H144" s="199"/>
      <c r="I144" s="199"/>
      <c r="J144" s="199"/>
      <c r="K144" s="199"/>
      <c r="L144" s="199"/>
      <c r="M144" s="199"/>
      <c r="N144" s="199"/>
      <c r="O144" s="199"/>
      <c r="P144" s="199"/>
      <c r="Q144" s="199"/>
      <c r="R144" s="199"/>
      <c r="S144" s="199"/>
      <c r="T144" s="199"/>
      <c r="U144" s="199"/>
      <c r="V144" s="199"/>
      <c r="W144" s="199"/>
      <c r="X144" s="199"/>
      <c r="Y144" s="199"/>
      <c r="Z144" s="199"/>
      <c r="AA144" s="199"/>
      <c r="AB144" s="199"/>
      <c r="AC144" s="199"/>
      <c r="AD144" s="199"/>
      <c r="AE144" s="199"/>
      <c r="AF144" s="199"/>
      <c r="AG144" s="199"/>
      <c r="AH144" s="199"/>
      <c r="AI144" s="48"/>
      <c r="AJ144" s="48"/>
      <c r="AK144" s="48"/>
      <c r="AL144" s="48"/>
      <c r="AM144" s="48"/>
      <c r="AN144" s="48"/>
      <c r="AO144" s="48"/>
      <c r="AP144" s="48"/>
      <c r="AQ144" s="48"/>
      <c r="AR144" s="48"/>
      <c r="AS144" s="48"/>
      <c r="AT144" s="48"/>
      <c r="AU144" s="48"/>
      <c r="AV144" s="48"/>
      <c r="AW144" s="48"/>
      <c r="AX144" s="48"/>
      <c r="AY144" s="48"/>
      <c r="AZ144" s="48"/>
      <c r="BA144" s="48"/>
      <c r="BB144" s="48"/>
      <c r="BC144" s="48"/>
      <c r="BD144" s="48"/>
    </row>
    <row r="145" spans="1:56" x14ac:dyDescent="0.25">
      <c r="A145" s="48"/>
      <c r="B145" s="48"/>
      <c r="C145" s="48"/>
      <c r="D145" s="48"/>
      <c r="E145" s="48"/>
      <c r="F145" s="48"/>
      <c r="G145" s="48"/>
      <c r="H145" s="48"/>
      <c r="I145" s="48"/>
      <c r="J145" s="48"/>
      <c r="K145" s="48"/>
      <c r="L145" s="48"/>
      <c r="M145" s="48"/>
      <c r="N145" s="48"/>
      <c r="O145" s="48"/>
      <c r="P145" s="48"/>
      <c r="Q145" s="48"/>
      <c r="R145" s="48"/>
      <c r="S145" s="48"/>
      <c r="T145" s="48"/>
      <c r="U145" s="48"/>
      <c r="V145" s="48"/>
      <c r="W145" s="48"/>
      <c r="X145" s="48"/>
      <c r="Y145" s="48"/>
      <c r="Z145" s="48"/>
      <c r="AA145" s="48"/>
      <c r="AB145" s="48"/>
      <c r="AC145" s="48"/>
      <c r="AD145" s="48"/>
      <c r="AE145" s="48"/>
      <c r="AF145" s="48"/>
      <c r="AG145" s="48"/>
      <c r="AH145" s="48"/>
      <c r="AI145" s="48"/>
      <c r="AJ145" s="48"/>
      <c r="AK145" s="48"/>
      <c r="AL145" s="48"/>
      <c r="AM145" s="48"/>
      <c r="AN145" s="48"/>
      <c r="AO145" s="48"/>
      <c r="AP145" s="48"/>
      <c r="AQ145" s="48"/>
      <c r="AR145" s="48"/>
      <c r="AS145" s="48"/>
      <c r="AT145" s="48"/>
      <c r="AU145" s="48"/>
      <c r="AV145" s="48"/>
      <c r="AW145" s="48"/>
      <c r="AX145" s="48"/>
      <c r="AY145" s="48"/>
      <c r="AZ145" s="48"/>
      <c r="BA145" s="48"/>
      <c r="BB145" s="48"/>
      <c r="BC145" s="48"/>
      <c r="BD145" s="48"/>
    </row>
    <row r="146" spans="1:56" x14ac:dyDescent="0.25">
      <c r="A146" s="48"/>
      <c r="B146" s="48"/>
      <c r="C146" s="48"/>
      <c r="D146" s="48"/>
      <c r="E146" s="48"/>
      <c r="F146" s="48"/>
      <c r="G146" s="48"/>
      <c r="H146" s="48"/>
      <c r="I146" s="48"/>
      <c r="J146" s="48"/>
      <c r="K146" s="48"/>
      <c r="L146" s="48"/>
      <c r="M146" s="48"/>
      <c r="N146" s="48"/>
      <c r="O146" s="48"/>
      <c r="P146" s="48"/>
      <c r="Q146" s="48"/>
      <c r="R146" s="48"/>
      <c r="S146" s="48"/>
      <c r="T146" s="48"/>
      <c r="U146" s="48"/>
      <c r="V146" s="48"/>
      <c r="W146" s="48"/>
      <c r="X146" s="48"/>
      <c r="Y146" s="48"/>
      <c r="Z146" s="48"/>
      <c r="AA146" s="48"/>
      <c r="AB146" s="48"/>
      <c r="AC146" s="48"/>
      <c r="AD146" s="48"/>
      <c r="AE146" s="48"/>
      <c r="AF146" s="48"/>
      <c r="AG146" s="48"/>
      <c r="AH146" s="48"/>
      <c r="AI146" s="48"/>
      <c r="AJ146" s="48"/>
      <c r="AK146" s="48"/>
      <c r="AL146" s="48"/>
      <c r="AM146" s="48"/>
      <c r="AN146" s="48"/>
      <c r="AO146" s="48"/>
      <c r="AP146" s="48"/>
      <c r="AQ146" s="48"/>
      <c r="AR146" s="48"/>
      <c r="AS146" s="48"/>
      <c r="AT146" s="48"/>
      <c r="AU146" s="48"/>
      <c r="AV146" s="48"/>
      <c r="AW146" s="48"/>
      <c r="AX146" s="48"/>
      <c r="AY146" s="48"/>
      <c r="AZ146" s="48"/>
      <c r="BA146" s="48"/>
      <c r="BB146" s="48"/>
      <c r="BC146" s="48"/>
      <c r="BD146" s="48"/>
    </row>
    <row r="147" spans="1:56" x14ac:dyDescent="0.25">
      <c r="A147" s="48"/>
      <c r="B147" s="48"/>
      <c r="C147" s="48"/>
      <c r="D147" s="48"/>
      <c r="E147" s="48"/>
      <c r="F147" s="48"/>
      <c r="G147" s="48"/>
      <c r="H147" s="48"/>
      <c r="I147" s="48"/>
      <c r="J147" s="48"/>
      <c r="K147" s="48"/>
      <c r="L147" s="48"/>
      <c r="M147" s="48"/>
      <c r="N147" s="48"/>
      <c r="O147" s="48"/>
      <c r="P147" s="48"/>
      <c r="Q147" s="48"/>
      <c r="R147" s="48"/>
      <c r="S147" s="48"/>
      <c r="T147" s="48"/>
      <c r="U147" s="48"/>
      <c r="V147" s="48"/>
      <c r="W147" s="48"/>
      <c r="X147" s="48"/>
      <c r="Y147" s="48"/>
      <c r="Z147" s="48"/>
      <c r="AA147" s="48"/>
      <c r="AB147" s="48"/>
      <c r="AC147" s="48"/>
      <c r="AD147" s="48"/>
      <c r="AE147" s="48"/>
      <c r="AF147" s="48"/>
      <c r="AG147" s="48"/>
      <c r="AH147" s="48"/>
      <c r="AI147" s="48"/>
      <c r="AJ147" s="48"/>
      <c r="AK147" s="48"/>
      <c r="AL147" s="48"/>
      <c r="AM147" s="48"/>
      <c r="AN147" s="48"/>
      <c r="AO147" s="48"/>
      <c r="AP147" s="48"/>
      <c r="AQ147" s="48"/>
      <c r="AR147" s="48"/>
      <c r="AS147" s="48"/>
      <c r="AT147" s="48"/>
      <c r="AU147" s="48"/>
      <c r="AV147" s="48"/>
      <c r="AW147" s="48"/>
      <c r="AX147" s="48"/>
      <c r="AY147" s="48"/>
      <c r="AZ147" s="48"/>
      <c r="BA147" s="48"/>
      <c r="BB147" s="48"/>
      <c r="BC147" s="48"/>
      <c r="BD147" s="48"/>
    </row>
    <row r="148" spans="1:56" x14ac:dyDescent="0.25">
      <c r="A148" s="48"/>
      <c r="B148" s="48"/>
      <c r="C148" s="48"/>
      <c r="D148" s="48"/>
      <c r="E148" s="48"/>
      <c r="F148" s="48"/>
      <c r="G148" s="48"/>
      <c r="H148" s="48"/>
      <c r="I148" s="48"/>
      <c r="J148" s="48"/>
      <c r="K148" s="48"/>
      <c r="L148" s="48"/>
      <c r="M148" s="48"/>
      <c r="N148" s="48"/>
      <c r="O148" s="48"/>
      <c r="P148" s="48"/>
      <c r="Q148" s="48"/>
      <c r="R148" s="48"/>
      <c r="S148" s="48"/>
      <c r="T148" s="48"/>
      <c r="U148" s="48"/>
      <c r="V148" s="48"/>
      <c r="W148" s="48"/>
      <c r="X148" s="48"/>
      <c r="Y148" s="48"/>
      <c r="Z148" s="48"/>
      <c r="AA148" s="48"/>
      <c r="AB148" s="48"/>
      <c r="AC148" s="48"/>
      <c r="AD148" s="48"/>
      <c r="AE148" s="48"/>
      <c r="AF148" s="48"/>
      <c r="AG148" s="48"/>
      <c r="AH148" s="48"/>
      <c r="AI148" s="48"/>
      <c r="AJ148" s="48"/>
      <c r="AK148" s="48"/>
      <c r="AL148" s="48"/>
      <c r="AM148" s="48"/>
      <c r="AN148" s="48"/>
      <c r="AO148" s="48"/>
      <c r="AP148" s="48"/>
      <c r="AQ148" s="48"/>
      <c r="AR148" s="48"/>
      <c r="AS148" s="48"/>
      <c r="AT148" s="48"/>
      <c r="AU148" s="48"/>
      <c r="AV148" s="48"/>
      <c r="AW148" s="48"/>
      <c r="AX148" s="48"/>
      <c r="AY148" s="48"/>
      <c r="AZ148" s="48"/>
      <c r="BA148" s="48"/>
      <c r="BB148" s="48"/>
      <c r="BC148" s="48"/>
      <c r="BD148" s="48"/>
    </row>
    <row r="149" spans="1:56" x14ac:dyDescent="0.25">
      <c r="A149" s="48"/>
      <c r="B149" s="48"/>
      <c r="C149" s="48"/>
      <c r="D149" s="48"/>
      <c r="E149" s="48"/>
      <c r="F149" s="48"/>
      <c r="G149" s="48"/>
      <c r="H149" s="48"/>
      <c r="I149" s="48"/>
      <c r="J149" s="48"/>
      <c r="K149" s="48"/>
      <c r="L149" s="48"/>
      <c r="M149" s="48"/>
      <c r="N149" s="48"/>
      <c r="O149" s="48"/>
      <c r="P149" s="48"/>
      <c r="Q149" s="48"/>
      <c r="R149" s="48"/>
      <c r="S149" s="48"/>
      <c r="T149" s="48"/>
      <c r="U149" s="48"/>
      <c r="V149" s="48"/>
      <c r="W149" s="48"/>
      <c r="X149" s="48"/>
      <c r="Y149" s="48"/>
      <c r="Z149" s="48"/>
      <c r="AA149" s="48"/>
      <c r="AB149" s="48"/>
      <c r="AC149" s="48"/>
      <c r="AD149" s="48"/>
      <c r="AE149" s="48"/>
      <c r="AF149" s="48"/>
      <c r="AG149" s="48"/>
      <c r="AH149" s="48"/>
      <c r="AI149" s="48"/>
      <c r="AJ149" s="48"/>
      <c r="AK149" s="48"/>
      <c r="AL149" s="48"/>
      <c r="AM149" s="48"/>
      <c r="AN149" s="48"/>
      <c r="AO149" s="48"/>
      <c r="AP149" s="48"/>
      <c r="AQ149" s="48"/>
      <c r="AR149" s="48"/>
      <c r="AS149" s="48"/>
      <c r="AT149" s="48"/>
      <c r="AU149" s="48"/>
      <c r="AV149" s="48"/>
      <c r="AW149" s="48"/>
      <c r="AX149" s="48"/>
      <c r="AY149" s="48"/>
      <c r="AZ149" s="48"/>
      <c r="BA149" s="48"/>
      <c r="BB149" s="48"/>
      <c r="BC149" s="48"/>
      <c r="BD149" s="48"/>
    </row>
    <row r="150" spans="1:56" x14ac:dyDescent="0.25">
      <c r="A150" s="48"/>
      <c r="B150" s="48"/>
      <c r="C150" s="48"/>
      <c r="D150" s="48"/>
      <c r="E150" s="48"/>
      <c r="F150" s="48"/>
      <c r="G150" s="48"/>
      <c r="H150" s="48"/>
      <c r="I150" s="48"/>
      <c r="J150" s="48"/>
      <c r="K150" s="48"/>
      <c r="L150" s="48"/>
      <c r="M150" s="48"/>
      <c r="N150" s="48"/>
      <c r="O150" s="48"/>
      <c r="P150" s="48"/>
      <c r="Q150" s="48"/>
      <c r="R150" s="48"/>
      <c r="S150" s="48"/>
      <c r="T150" s="48"/>
      <c r="U150" s="48"/>
      <c r="V150" s="48"/>
      <c r="W150" s="48"/>
      <c r="X150" s="48"/>
      <c r="Y150" s="48"/>
      <c r="Z150" s="48"/>
      <c r="AA150" s="48"/>
      <c r="AB150" s="48"/>
      <c r="AC150" s="48"/>
      <c r="AD150" s="48"/>
      <c r="AE150" s="48"/>
      <c r="AF150" s="48"/>
      <c r="AG150" s="48"/>
      <c r="AH150" s="48"/>
      <c r="AI150" s="48"/>
      <c r="AJ150" s="48"/>
      <c r="AK150" s="48"/>
      <c r="AL150" s="48"/>
      <c r="AM150" s="48"/>
      <c r="AN150" s="48"/>
      <c r="AO150" s="48"/>
      <c r="AP150" s="48"/>
      <c r="AQ150" s="48"/>
      <c r="AR150" s="48"/>
      <c r="AS150" s="48"/>
      <c r="AT150" s="48"/>
      <c r="AU150" s="48"/>
      <c r="AV150" s="48"/>
      <c r="AW150" s="48"/>
      <c r="AX150" s="48"/>
      <c r="AY150" s="48"/>
      <c r="AZ150" s="48"/>
      <c r="BA150" s="48"/>
      <c r="BB150" s="48"/>
      <c r="BC150" s="48"/>
      <c r="BD150" s="48"/>
    </row>
    <row r="151" spans="1:56" x14ac:dyDescent="0.25">
      <c r="A151" s="48"/>
      <c r="B151" s="48"/>
      <c r="C151" s="48"/>
      <c r="D151" s="48"/>
      <c r="E151" s="48"/>
      <c r="F151" s="48"/>
      <c r="G151" s="48"/>
      <c r="H151" s="48"/>
      <c r="I151" s="48"/>
      <c r="J151" s="48"/>
      <c r="K151" s="48"/>
      <c r="L151" s="48"/>
      <c r="M151" s="48"/>
      <c r="N151" s="48"/>
      <c r="O151" s="48"/>
      <c r="P151" s="48"/>
      <c r="Q151" s="48"/>
      <c r="R151" s="48"/>
      <c r="S151" s="48"/>
      <c r="T151" s="48"/>
      <c r="U151" s="48"/>
      <c r="V151" s="48"/>
      <c r="W151" s="48"/>
      <c r="X151" s="48"/>
      <c r="Y151" s="48"/>
      <c r="Z151" s="48"/>
      <c r="AA151" s="48"/>
      <c r="AB151" s="48"/>
      <c r="AC151" s="48"/>
      <c r="AD151" s="48"/>
      <c r="AE151" s="48"/>
      <c r="AF151" s="48"/>
      <c r="AG151" s="48"/>
      <c r="AH151" s="48"/>
      <c r="AI151" s="48"/>
      <c r="AJ151" s="48"/>
      <c r="AK151" s="48"/>
      <c r="AL151" s="48"/>
      <c r="AM151" s="48"/>
      <c r="AN151" s="48"/>
      <c r="AO151" s="48"/>
      <c r="AP151" s="48"/>
      <c r="AQ151" s="48"/>
      <c r="AR151" s="48"/>
      <c r="AS151" s="48"/>
      <c r="AT151" s="48"/>
      <c r="AU151" s="48"/>
      <c r="AV151" s="48"/>
      <c r="AW151" s="48"/>
      <c r="AX151" s="48"/>
      <c r="AY151" s="48"/>
      <c r="AZ151" s="48"/>
      <c r="BA151" s="48"/>
      <c r="BB151" s="48"/>
      <c r="BC151" s="48"/>
      <c r="BD151" s="48"/>
    </row>
    <row r="152" spans="1:56" x14ac:dyDescent="0.25">
      <c r="A152" s="48"/>
      <c r="B152" s="48"/>
      <c r="C152" s="48"/>
      <c r="D152" s="48"/>
      <c r="E152" s="48"/>
      <c r="F152" s="48"/>
      <c r="G152" s="48"/>
      <c r="H152" s="48"/>
      <c r="I152" s="48"/>
      <c r="J152" s="48"/>
      <c r="K152" s="48"/>
      <c r="L152" s="48"/>
      <c r="M152" s="48"/>
      <c r="N152" s="48"/>
      <c r="O152" s="48"/>
      <c r="P152" s="48"/>
      <c r="Q152" s="48"/>
      <c r="R152" s="48"/>
      <c r="S152" s="48"/>
      <c r="T152" s="48"/>
      <c r="U152" s="48"/>
      <c r="V152" s="48"/>
      <c r="W152" s="48"/>
      <c r="X152" s="48"/>
      <c r="Y152" s="48"/>
      <c r="Z152" s="48"/>
      <c r="AA152" s="48"/>
      <c r="AB152" s="48"/>
      <c r="AC152" s="48"/>
      <c r="AD152" s="48"/>
      <c r="AE152" s="48"/>
      <c r="AF152" s="48"/>
      <c r="AG152" s="48"/>
      <c r="AH152" s="48"/>
      <c r="AI152" s="48"/>
      <c r="AJ152" s="48"/>
      <c r="AK152" s="48"/>
      <c r="AL152" s="48"/>
      <c r="AM152" s="48"/>
      <c r="AN152" s="48"/>
      <c r="AO152" s="48"/>
      <c r="AP152" s="48"/>
      <c r="AQ152" s="48"/>
      <c r="AR152" s="48"/>
      <c r="AS152" s="48"/>
      <c r="AT152" s="48"/>
      <c r="AU152" s="48"/>
      <c r="AV152" s="48"/>
      <c r="AW152" s="48"/>
      <c r="AX152" s="48"/>
      <c r="AY152" s="48"/>
      <c r="AZ152" s="48"/>
      <c r="BA152" s="48"/>
      <c r="BB152" s="48"/>
      <c r="BC152" s="48"/>
      <c r="BD152" s="48"/>
    </row>
    <row r="153" spans="1:56" x14ac:dyDescent="0.25">
      <c r="A153" s="48"/>
      <c r="B153" s="48"/>
      <c r="C153" s="48"/>
      <c r="D153" s="48"/>
      <c r="E153" s="48"/>
      <c r="F153" s="48"/>
      <c r="G153" s="48"/>
      <c r="H153" s="48"/>
      <c r="I153" s="48"/>
      <c r="J153" s="48"/>
      <c r="K153" s="48"/>
      <c r="L153" s="48"/>
      <c r="M153" s="48"/>
      <c r="N153" s="48"/>
      <c r="O153" s="48"/>
      <c r="P153" s="48"/>
      <c r="Q153" s="48"/>
      <c r="R153" s="48"/>
      <c r="S153" s="48"/>
      <c r="T153" s="48"/>
      <c r="U153" s="48"/>
      <c r="V153" s="48"/>
      <c r="W153" s="48"/>
      <c r="X153" s="48"/>
      <c r="Y153" s="48"/>
      <c r="Z153" s="48"/>
      <c r="AA153" s="48"/>
      <c r="AB153" s="48"/>
      <c r="AC153" s="48"/>
      <c r="AD153" s="48"/>
      <c r="AE153" s="48"/>
      <c r="AF153" s="48"/>
      <c r="AG153" s="48"/>
      <c r="AH153" s="48"/>
      <c r="AI153" s="48"/>
      <c r="AJ153" s="48"/>
      <c r="AK153" s="48"/>
      <c r="AL153" s="48"/>
      <c r="AM153" s="48"/>
      <c r="AN153" s="48"/>
      <c r="AO153" s="48"/>
      <c r="AP153" s="48"/>
      <c r="AQ153" s="48"/>
      <c r="AR153" s="48"/>
      <c r="AS153" s="48"/>
      <c r="AT153" s="48"/>
      <c r="AU153" s="48"/>
      <c r="AV153" s="48"/>
      <c r="AW153" s="48"/>
      <c r="AX153" s="48"/>
      <c r="AY153" s="48"/>
      <c r="AZ153" s="48"/>
      <c r="BA153" s="48"/>
      <c r="BB153" s="48"/>
      <c r="BC153" s="48"/>
      <c r="BD153" s="48"/>
    </row>
    <row r="154" spans="1:56" x14ac:dyDescent="0.25">
      <c r="A154" s="48"/>
      <c r="B154" s="48"/>
      <c r="C154" s="48"/>
      <c r="D154" s="48"/>
      <c r="E154" s="48"/>
      <c r="F154" s="48"/>
      <c r="G154" s="48"/>
      <c r="H154" s="48"/>
      <c r="I154" s="48"/>
      <c r="J154" s="48"/>
      <c r="K154" s="48"/>
      <c r="L154" s="48"/>
      <c r="M154" s="48"/>
      <c r="N154" s="48"/>
      <c r="O154" s="48"/>
      <c r="P154" s="48"/>
      <c r="Q154" s="48"/>
      <c r="R154" s="48"/>
      <c r="S154" s="48"/>
      <c r="T154" s="48"/>
      <c r="U154" s="48"/>
      <c r="V154" s="48"/>
      <c r="W154" s="48"/>
      <c r="X154" s="48"/>
      <c r="Y154" s="48"/>
      <c r="Z154" s="48"/>
      <c r="AA154" s="48"/>
      <c r="AB154" s="48"/>
      <c r="AC154" s="48"/>
      <c r="AD154" s="48"/>
      <c r="AE154" s="48"/>
      <c r="AF154" s="48"/>
      <c r="AG154" s="48"/>
      <c r="AH154" s="48"/>
      <c r="AI154" s="48"/>
      <c r="AJ154" s="48"/>
      <c r="AK154" s="48"/>
      <c r="AL154" s="48"/>
      <c r="AM154" s="48"/>
      <c r="AN154" s="48"/>
      <c r="AO154" s="48"/>
      <c r="AP154" s="48"/>
      <c r="AQ154" s="48"/>
      <c r="AR154" s="48"/>
      <c r="AS154" s="48"/>
      <c r="AT154" s="48"/>
      <c r="AU154" s="48"/>
      <c r="AV154" s="48"/>
      <c r="AW154" s="48"/>
      <c r="AX154" s="48"/>
      <c r="AY154" s="48"/>
      <c r="AZ154" s="48"/>
      <c r="BA154" s="48"/>
      <c r="BB154" s="48"/>
      <c r="BC154" s="48"/>
      <c r="BD154" s="48"/>
    </row>
    <row r="155" spans="1:56" x14ac:dyDescent="0.25">
      <c r="A155" s="48"/>
      <c r="B155" s="48"/>
      <c r="C155" s="48"/>
      <c r="D155" s="48"/>
      <c r="E155" s="48"/>
      <c r="F155" s="48"/>
      <c r="G155" s="48"/>
      <c r="H155" s="48"/>
      <c r="I155" s="48"/>
      <c r="J155" s="48"/>
      <c r="K155" s="48"/>
      <c r="L155" s="48"/>
      <c r="M155" s="48"/>
      <c r="N155" s="48"/>
      <c r="O155" s="48"/>
      <c r="P155" s="48"/>
      <c r="Q155" s="48"/>
      <c r="R155" s="48"/>
      <c r="S155" s="48"/>
      <c r="T155" s="48"/>
      <c r="U155" s="48"/>
      <c r="V155" s="48"/>
      <c r="W155" s="48"/>
      <c r="X155" s="48"/>
      <c r="Y155" s="48"/>
      <c r="Z155" s="48"/>
      <c r="AA155" s="48"/>
      <c r="AB155" s="48"/>
      <c r="AC155" s="48"/>
      <c r="AD155" s="48"/>
      <c r="AE155" s="48"/>
      <c r="AF155" s="48"/>
      <c r="AG155" s="48"/>
      <c r="AH155" s="48"/>
      <c r="AI155" s="48"/>
      <c r="AJ155" s="48"/>
      <c r="AK155" s="48"/>
      <c r="AL155" s="48"/>
      <c r="AM155" s="48"/>
      <c r="AN155" s="48"/>
      <c r="AO155" s="48"/>
      <c r="AP155" s="48"/>
      <c r="AQ155" s="48"/>
      <c r="AR155" s="48"/>
      <c r="AS155" s="48"/>
      <c r="AT155" s="48"/>
      <c r="AU155" s="48"/>
      <c r="AV155" s="48"/>
      <c r="AW155" s="48"/>
      <c r="AX155" s="48"/>
      <c r="AY155" s="48"/>
      <c r="AZ155" s="48"/>
      <c r="BA155" s="48"/>
      <c r="BB155" s="48"/>
      <c r="BC155" s="48"/>
      <c r="BD155" s="48"/>
    </row>
    <row r="156" spans="1:56" x14ac:dyDescent="0.25">
      <c r="A156" s="48"/>
      <c r="B156" s="48"/>
      <c r="C156" s="48"/>
      <c r="D156" s="48"/>
      <c r="E156" s="48"/>
      <c r="F156" s="48"/>
      <c r="G156" s="48"/>
      <c r="H156" s="48"/>
      <c r="I156" s="48"/>
      <c r="J156" s="48"/>
      <c r="K156" s="48"/>
      <c r="L156" s="48"/>
      <c r="M156" s="48"/>
      <c r="N156" s="48"/>
      <c r="O156" s="48"/>
      <c r="P156" s="48"/>
      <c r="Q156" s="48"/>
      <c r="R156" s="48"/>
      <c r="S156" s="48"/>
      <c r="T156" s="48"/>
      <c r="U156" s="48"/>
      <c r="V156" s="48"/>
      <c r="W156" s="48"/>
      <c r="X156" s="48"/>
      <c r="Y156" s="48"/>
      <c r="Z156" s="48"/>
      <c r="AA156" s="48"/>
      <c r="AB156" s="48"/>
      <c r="AC156" s="48"/>
      <c r="AD156" s="48"/>
      <c r="AE156" s="48"/>
      <c r="AF156" s="48"/>
      <c r="AG156" s="48"/>
      <c r="AH156" s="48"/>
      <c r="AI156" s="48"/>
      <c r="AJ156" s="48"/>
      <c r="AK156" s="48"/>
      <c r="AL156" s="48"/>
      <c r="AM156" s="48"/>
      <c r="AN156" s="48"/>
      <c r="AO156" s="48"/>
      <c r="AP156" s="48"/>
      <c r="AQ156" s="48"/>
      <c r="AR156" s="48"/>
      <c r="AS156" s="48"/>
      <c r="AT156" s="48"/>
      <c r="AU156" s="48"/>
      <c r="AV156" s="48"/>
      <c r="AW156" s="48"/>
      <c r="AX156" s="48"/>
      <c r="AY156" s="48"/>
      <c r="AZ156" s="48"/>
      <c r="BA156" s="48"/>
      <c r="BB156" s="48"/>
      <c r="BC156" s="48"/>
      <c r="BD156" s="48"/>
    </row>
    <row r="157" spans="1:56" x14ac:dyDescent="0.25">
      <c r="A157" s="48"/>
      <c r="B157" s="48"/>
      <c r="C157" s="48"/>
      <c r="D157" s="48"/>
      <c r="E157" s="48"/>
      <c r="F157" s="48"/>
      <c r="G157" s="48"/>
      <c r="H157" s="48"/>
      <c r="I157" s="48"/>
      <c r="J157" s="48"/>
      <c r="K157" s="48"/>
      <c r="L157" s="48"/>
      <c r="M157" s="48"/>
      <c r="N157" s="48"/>
      <c r="O157" s="48"/>
      <c r="P157" s="48"/>
      <c r="Q157" s="48"/>
      <c r="R157" s="48"/>
      <c r="S157" s="48"/>
      <c r="T157" s="48"/>
      <c r="U157" s="48"/>
      <c r="V157" s="48"/>
      <c r="W157" s="48"/>
      <c r="X157" s="48"/>
      <c r="Y157" s="48"/>
      <c r="Z157" s="48"/>
      <c r="AA157" s="48"/>
      <c r="AB157" s="48"/>
      <c r="AC157" s="48"/>
      <c r="AD157" s="48"/>
      <c r="AE157" s="48"/>
      <c r="AF157" s="48"/>
      <c r="AG157" s="48"/>
      <c r="AH157" s="48"/>
      <c r="AI157" s="48"/>
      <c r="AJ157" s="48"/>
      <c r="AK157" s="48"/>
      <c r="AL157" s="48"/>
      <c r="AM157" s="48"/>
      <c r="AN157" s="48"/>
      <c r="AO157" s="48"/>
      <c r="AP157" s="48"/>
      <c r="AQ157" s="48"/>
      <c r="AR157" s="48"/>
      <c r="AS157" s="48"/>
      <c r="AT157" s="48"/>
      <c r="AU157" s="48"/>
      <c r="AV157" s="48"/>
      <c r="AW157" s="48"/>
      <c r="AX157" s="48"/>
      <c r="AY157" s="48"/>
      <c r="AZ157" s="48"/>
      <c r="BA157" s="48"/>
      <c r="BB157" s="48"/>
      <c r="BC157" s="48"/>
      <c r="BD157" s="48"/>
    </row>
    <row r="158" spans="1:56" x14ac:dyDescent="0.25">
      <c r="A158" s="48"/>
      <c r="B158" s="48"/>
      <c r="C158" s="48"/>
      <c r="D158" s="48"/>
      <c r="E158" s="48"/>
      <c r="F158" s="48"/>
      <c r="G158" s="48"/>
      <c r="H158" s="48"/>
      <c r="I158" s="48"/>
      <c r="J158" s="48"/>
      <c r="K158" s="48"/>
      <c r="L158" s="48"/>
      <c r="M158" s="48"/>
      <c r="N158" s="48"/>
      <c r="O158" s="48"/>
      <c r="P158" s="48"/>
      <c r="Q158" s="48"/>
      <c r="R158" s="48"/>
      <c r="S158" s="48"/>
      <c r="T158" s="48"/>
      <c r="U158" s="48"/>
      <c r="V158" s="48"/>
      <c r="W158" s="48"/>
      <c r="X158" s="48"/>
      <c r="Y158" s="48"/>
      <c r="Z158" s="48"/>
      <c r="AA158" s="48"/>
      <c r="AB158" s="48"/>
      <c r="AC158" s="48"/>
      <c r="AD158" s="48"/>
      <c r="AE158" s="48"/>
      <c r="AF158" s="48"/>
      <c r="AG158" s="48"/>
      <c r="AH158" s="48"/>
      <c r="AI158" s="48"/>
      <c r="AJ158" s="48"/>
      <c r="AK158" s="48"/>
      <c r="AL158" s="48"/>
      <c r="AM158" s="48"/>
      <c r="AN158" s="48"/>
      <c r="AO158" s="48"/>
      <c r="AP158" s="48"/>
      <c r="AQ158" s="48"/>
      <c r="AR158" s="48"/>
      <c r="AS158" s="48"/>
      <c r="AT158" s="48"/>
      <c r="AU158" s="48"/>
      <c r="AV158" s="48"/>
      <c r="AW158" s="48"/>
      <c r="AX158" s="48"/>
      <c r="AY158" s="48"/>
      <c r="AZ158" s="48"/>
      <c r="BA158" s="48"/>
      <c r="BB158" s="48"/>
      <c r="BC158" s="48"/>
      <c r="BD158" s="48"/>
    </row>
    <row r="159" spans="1:56" x14ac:dyDescent="0.25">
      <c r="A159" s="48"/>
      <c r="B159" s="48"/>
      <c r="C159" s="48"/>
      <c r="D159" s="48"/>
      <c r="E159" s="48"/>
      <c r="F159" s="48"/>
      <c r="G159" s="48"/>
      <c r="H159" s="48"/>
      <c r="I159" s="48"/>
      <c r="J159" s="48"/>
      <c r="K159" s="48"/>
      <c r="L159" s="48"/>
      <c r="M159" s="48"/>
      <c r="N159" s="48"/>
      <c r="O159" s="48"/>
      <c r="P159" s="48"/>
      <c r="Q159" s="48"/>
      <c r="R159" s="48"/>
      <c r="S159" s="48"/>
      <c r="T159" s="48"/>
      <c r="U159" s="48"/>
      <c r="V159" s="48"/>
      <c r="W159" s="48"/>
      <c r="X159" s="48"/>
      <c r="Y159" s="48"/>
      <c r="Z159" s="48"/>
      <c r="AA159" s="48"/>
      <c r="AB159" s="48"/>
      <c r="AC159" s="48"/>
      <c r="AD159" s="48"/>
      <c r="AE159" s="48"/>
      <c r="AF159" s="48"/>
      <c r="AG159" s="48"/>
      <c r="AH159" s="48"/>
      <c r="AI159" s="48"/>
      <c r="AJ159" s="48"/>
      <c r="AK159" s="48"/>
      <c r="AL159" s="48"/>
      <c r="AM159" s="48"/>
      <c r="AN159" s="48"/>
      <c r="AO159" s="48"/>
      <c r="AP159" s="48"/>
      <c r="AQ159" s="48"/>
      <c r="AR159" s="48"/>
      <c r="AS159" s="48"/>
      <c r="AT159" s="48"/>
      <c r="AU159" s="48"/>
      <c r="AV159" s="48"/>
      <c r="AW159" s="48"/>
      <c r="AX159" s="48"/>
      <c r="AY159" s="48"/>
      <c r="AZ159" s="48"/>
      <c r="BA159" s="48"/>
      <c r="BB159" s="48"/>
      <c r="BC159" s="48"/>
      <c r="BD159" s="48"/>
    </row>
    <row r="160" spans="1:56" x14ac:dyDescent="0.25">
      <c r="A160" s="48"/>
      <c r="B160" s="48"/>
      <c r="C160" s="48"/>
      <c r="D160" s="48"/>
      <c r="E160" s="48"/>
      <c r="F160" s="48"/>
      <c r="G160" s="48"/>
      <c r="H160" s="48"/>
      <c r="I160" s="48"/>
      <c r="J160" s="48"/>
      <c r="K160" s="48"/>
      <c r="L160" s="48"/>
      <c r="M160" s="48"/>
      <c r="N160" s="48"/>
      <c r="O160" s="48"/>
      <c r="P160" s="48"/>
      <c r="Q160" s="48"/>
      <c r="R160" s="48"/>
      <c r="S160" s="48"/>
      <c r="T160" s="48"/>
      <c r="U160" s="48"/>
      <c r="V160" s="48"/>
      <c r="W160" s="48"/>
      <c r="X160" s="48"/>
      <c r="Y160" s="48"/>
      <c r="Z160" s="48"/>
      <c r="AA160" s="48"/>
      <c r="AB160" s="48"/>
      <c r="AC160" s="48"/>
      <c r="AD160" s="48"/>
      <c r="AE160" s="48"/>
      <c r="AF160" s="48"/>
      <c r="AG160" s="48"/>
      <c r="AH160" s="48"/>
      <c r="AI160" s="48"/>
      <c r="AJ160" s="48"/>
      <c r="AK160" s="48"/>
      <c r="AL160" s="48"/>
      <c r="AM160" s="48"/>
      <c r="AN160" s="48"/>
      <c r="AO160" s="48"/>
      <c r="AP160" s="48"/>
      <c r="AQ160" s="48"/>
      <c r="AR160" s="48"/>
      <c r="AS160" s="48"/>
      <c r="AT160" s="48"/>
      <c r="AU160" s="48"/>
      <c r="AV160" s="48"/>
      <c r="AW160" s="48"/>
      <c r="AX160" s="48"/>
      <c r="AY160" s="48"/>
      <c r="AZ160" s="48"/>
      <c r="BA160" s="48"/>
      <c r="BB160" s="48"/>
      <c r="BC160" s="48"/>
      <c r="BD160" s="48"/>
    </row>
    <row r="161" spans="1:56" x14ac:dyDescent="0.25">
      <c r="A161" s="48"/>
      <c r="B161" s="48"/>
      <c r="C161" s="48"/>
      <c r="D161" s="48"/>
      <c r="E161" s="48"/>
      <c r="F161" s="48"/>
      <c r="G161" s="48"/>
      <c r="H161" s="48"/>
      <c r="I161" s="48"/>
      <c r="J161" s="48"/>
      <c r="K161" s="48"/>
      <c r="L161" s="48"/>
      <c r="M161" s="48"/>
      <c r="N161" s="48"/>
      <c r="O161" s="48"/>
      <c r="P161" s="48"/>
      <c r="Q161" s="48"/>
      <c r="R161" s="48"/>
      <c r="S161" s="48"/>
      <c r="T161" s="48"/>
      <c r="U161" s="48"/>
      <c r="V161" s="48"/>
      <c r="W161" s="48"/>
      <c r="X161" s="48"/>
      <c r="Y161" s="48"/>
      <c r="Z161" s="48"/>
      <c r="AA161" s="48"/>
      <c r="AB161" s="48"/>
      <c r="AC161" s="48"/>
      <c r="AD161" s="48"/>
      <c r="AE161" s="48"/>
      <c r="AF161" s="48"/>
      <c r="AG161" s="48"/>
      <c r="AH161" s="48"/>
      <c r="AI161" s="48"/>
      <c r="AJ161" s="48"/>
      <c r="AK161" s="48"/>
      <c r="AL161" s="48"/>
      <c r="AM161" s="48"/>
      <c r="AN161" s="48"/>
      <c r="AO161" s="48"/>
      <c r="AP161" s="48"/>
      <c r="AQ161" s="48"/>
      <c r="AR161" s="48"/>
      <c r="AS161" s="48"/>
      <c r="AT161" s="48"/>
      <c r="AU161" s="48"/>
      <c r="AV161" s="48"/>
      <c r="AW161" s="48"/>
      <c r="AX161" s="48"/>
      <c r="AY161" s="48"/>
      <c r="AZ161" s="48"/>
      <c r="BA161" s="48"/>
      <c r="BB161" s="48"/>
      <c r="BC161" s="48"/>
      <c r="BD161" s="48"/>
    </row>
    <row r="162" spans="1:56" x14ac:dyDescent="0.25">
      <c r="A162" s="48"/>
      <c r="B162" s="48"/>
      <c r="C162" s="48"/>
      <c r="D162" s="48"/>
      <c r="E162" s="48"/>
      <c r="F162" s="48"/>
      <c r="G162" s="48"/>
      <c r="H162" s="48"/>
      <c r="I162" s="48"/>
      <c r="J162" s="48"/>
      <c r="K162" s="48"/>
      <c r="L162" s="48"/>
      <c r="M162" s="48"/>
      <c r="N162" s="48"/>
      <c r="O162" s="48"/>
      <c r="P162" s="48"/>
      <c r="Q162" s="48"/>
      <c r="R162" s="48"/>
      <c r="S162" s="48"/>
      <c r="T162" s="48"/>
      <c r="U162" s="48"/>
      <c r="V162" s="48"/>
      <c r="W162" s="48"/>
      <c r="X162" s="48"/>
      <c r="Y162" s="48"/>
      <c r="Z162" s="48"/>
      <c r="AA162" s="48"/>
      <c r="AB162" s="48"/>
      <c r="AC162" s="48"/>
      <c r="AD162" s="48"/>
      <c r="AE162" s="48"/>
      <c r="AF162" s="48"/>
      <c r="AG162" s="48"/>
      <c r="AH162" s="48"/>
      <c r="AI162" s="48"/>
      <c r="AJ162" s="48"/>
      <c r="AK162" s="48"/>
      <c r="AL162" s="48"/>
      <c r="AM162" s="48"/>
      <c r="AN162" s="48"/>
      <c r="AO162" s="48"/>
      <c r="AP162" s="48"/>
      <c r="AQ162" s="48"/>
      <c r="AR162" s="48"/>
      <c r="AS162" s="48"/>
      <c r="AT162" s="48"/>
      <c r="AU162" s="48"/>
      <c r="AV162" s="48"/>
      <c r="AW162" s="48"/>
      <c r="AX162" s="48"/>
      <c r="AY162" s="48"/>
      <c r="AZ162" s="48"/>
      <c r="BA162" s="48"/>
      <c r="BB162" s="48"/>
      <c r="BC162" s="48"/>
      <c r="BD162" s="48"/>
    </row>
    <row r="163" spans="1:56" x14ac:dyDescent="0.25">
      <c r="A163" s="48"/>
      <c r="B163" s="48"/>
      <c r="C163" s="48"/>
      <c r="D163" s="48"/>
      <c r="E163" s="48"/>
      <c r="F163" s="48"/>
      <c r="G163" s="48"/>
      <c r="H163" s="48"/>
      <c r="I163" s="48"/>
      <c r="J163" s="48"/>
      <c r="K163" s="48"/>
      <c r="L163" s="48"/>
      <c r="M163" s="48"/>
      <c r="N163" s="48"/>
      <c r="O163" s="48"/>
      <c r="P163" s="48"/>
      <c r="Q163" s="48"/>
      <c r="R163" s="48"/>
      <c r="S163" s="48"/>
      <c r="T163" s="48"/>
      <c r="U163" s="48"/>
      <c r="V163" s="48"/>
      <c r="W163" s="48"/>
      <c r="X163" s="48"/>
      <c r="Y163" s="48"/>
      <c r="Z163" s="48"/>
      <c r="AA163" s="48"/>
      <c r="AB163" s="48"/>
      <c r="AC163" s="48"/>
      <c r="AD163" s="48"/>
      <c r="AE163" s="48"/>
      <c r="AF163" s="48"/>
      <c r="AG163" s="48"/>
      <c r="AH163" s="48"/>
      <c r="AI163" s="48"/>
      <c r="AJ163" s="48"/>
      <c r="AK163" s="48"/>
      <c r="AL163" s="48"/>
      <c r="AM163" s="48"/>
      <c r="AN163" s="48"/>
      <c r="AO163" s="48"/>
      <c r="AP163" s="48"/>
      <c r="AQ163" s="48"/>
      <c r="AR163" s="48"/>
      <c r="AS163" s="48"/>
      <c r="AT163" s="48"/>
      <c r="AU163" s="48"/>
      <c r="AV163" s="48"/>
      <c r="AW163" s="48"/>
      <c r="AX163" s="48"/>
      <c r="AY163" s="48"/>
      <c r="AZ163" s="48"/>
      <c r="BA163" s="48"/>
      <c r="BB163" s="48"/>
      <c r="BC163" s="48"/>
      <c r="BD163" s="48"/>
    </row>
    <row r="164" spans="1:56" x14ac:dyDescent="0.25">
      <c r="A164" s="48"/>
      <c r="B164" s="48"/>
      <c r="C164" s="48"/>
      <c r="D164" s="48"/>
      <c r="E164" s="48"/>
      <c r="F164" s="48"/>
      <c r="G164" s="48"/>
      <c r="H164" s="48"/>
      <c r="I164" s="48"/>
      <c r="J164" s="48"/>
      <c r="K164" s="48"/>
      <c r="L164" s="48"/>
      <c r="M164" s="48"/>
      <c r="N164" s="48"/>
      <c r="O164" s="48"/>
      <c r="P164" s="48"/>
      <c r="Q164" s="48"/>
      <c r="R164" s="48"/>
      <c r="S164" s="48"/>
      <c r="T164" s="48"/>
      <c r="U164" s="48"/>
      <c r="V164" s="48"/>
      <c r="W164" s="48"/>
      <c r="X164" s="48"/>
      <c r="Y164" s="48"/>
      <c r="Z164" s="48"/>
      <c r="AA164" s="48"/>
      <c r="AB164" s="48"/>
      <c r="AC164" s="48"/>
      <c r="AD164" s="48"/>
      <c r="AE164" s="48"/>
      <c r="AF164" s="48"/>
      <c r="AG164" s="48"/>
      <c r="AH164" s="48"/>
      <c r="AI164" s="48"/>
      <c r="AJ164" s="48"/>
      <c r="AK164" s="48"/>
      <c r="AL164" s="48"/>
      <c r="AM164" s="48"/>
      <c r="AN164" s="48"/>
      <c r="AO164" s="48"/>
      <c r="AP164" s="48"/>
      <c r="AQ164" s="48"/>
      <c r="AR164" s="48"/>
      <c r="AS164" s="48"/>
      <c r="AT164" s="48"/>
      <c r="AU164" s="48"/>
      <c r="AV164" s="48"/>
      <c r="AW164" s="48"/>
      <c r="AX164" s="48"/>
      <c r="AY164" s="48"/>
      <c r="AZ164" s="48"/>
      <c r="BA164" s="48"/>
      <c r="BB164" s="48"/>
      <c r="BC164" s="48"/>
      <c r="BD164" s="48"/>
    </row>
    <row r="165" spans="1:56" x14ac:dyDescent="0.25">
      <c r="A165" s="48"/>
      <c r="B165" s="48"/>
      <c r="C165" s="48"/>
      <c r="D165" s="48"/>
      <c r="E165" s="48"/>
      <c r="F165" s="48"/>
      <c r="G165" s="48"/>
      <c r="H165" s="48"/>
      <c r="I165" s="48"/>
      <c r="J165" s="48"/>
      <c r="K165" s="48"/>
      <c r="L165" s="48"/>
      <c r="M165" s="48"/>
      <c r="N165" s="48"/>
      <c r="O165" s="48"/>
      <c r="P165" s="48"/>
      <c r="Q165" s="48"/>
      <c r="R165" s="48"/>
      <c r="S165" s="48"/>
      <c r="T165" s="48"/>
      <c r="U165" s="48"/>
      <c r="V165" s="48"/>
      <c r="W165" s="48"/>
      <c r="X165" s="48"/>
      <c r="Y165" s="48"/>
      <c r="Z165" s="48"/>
      <c r="AA165" s="48"/>
      <c r="AB165" s="48"/>
      <c r="AC165" s="48"/>
      <c r="AD165" s="48"/>
      <c r="AE165" s="48"/>
      <c r="AF165" s="48"/>
      <c r="AG165" s="48"/>
      <c r="AH165" s="48"/>
      <c r="AI165" s="48"/>
      <c r="AJ165" s="48"/>
      <c r="AK165" s="48"/>
      <c r="AL165" s="48"/>
      <c r="AM165" s="48"/>
      <c r="AN165" s="48"/>
      <c r="AO165" s="48"/>
      <c r="AP165" s="48"/>
      <c r="AQ165" s="48"/>
      <c r="AR165" s="48"/>
      <c r="AS165" s="48"/>
      <c r="AT165" s="48"/>
      <c r="AU165" s="48"/>
      <c r="AV165" s="48"/>
      <c r="AW165" s="48"/>
      <c r="AX165" s="48"/>
      <c r="AY165" s="48"/>
      <c r="AZ165" s="48"/>
      <c r="BA165" s="48"/>
      <c r="BB165" s="48"/>
      <c r="BC165" s="48"/>
      <c r="BD165" s="48"/>
    </row>
    <row r="166" spans="1:56" x14ac:dyDescent="0.25">
      <c r="A166" s="48"/>
      <c r="B166" s="48"/>
      <c r="C166" s="48"/>
      <c r="D166" s="48"/>
      <c r="E166" s="48"/>
      <c r="F166" s="48"/>
      <c r="G166" s="48"/>
      <c r="H166" s="48"/>
      <c r="I166" s="48"/>
      <c r="J166" s="48"/>
      <c r="K166" s="48"/>
      <c r="L166" s="48"/>
      <c r="M166" s="48"/>
      <c r="N166" s="48"/>
      <c r="O166" s="48"/>
      <c r="P166" s="48"/>
      <c r="Q166" s="48"/>
      <c r="R166" s="48"/>
      <c r="S166" s="48"/>
      <c r="T166" s="48"/>
      <c r="U166" s="48"/>
      <c r="V166" s="48"/>
      <c r="W166" s="48"/>
      <c r="X166" s="48"/>
      <c r="Y166" s="48"/>
      <c r="Z166" s="48"/>
      <c r="AA166" s="48"/>
      <c r="AB166" s="48"/>
      <c r="AC166" s="48"/>
      <c r="AD166" s="48"/>
      <c r="AE166" s="48"/>
      <c r="AF166" s="48"/>
      <c r="AG166" s="48"/>
      <c r="AH166" s="48"/>
      <c r="AI166" s="48"/>
      <c r="AJ166" s="48"/>
      <c r="AK166" s="48"/>
      <c r="AL166" s="48"/>
      <c r="AM166" s="48"/>
      <c r="AN166" s="48"/>
      <c r="AO166" s="48"/>
      <c r="AP166" s="48"/>
      <c r="AQ166" s="48"/>
      <c r="AR166" s="48"/>
      <c r="AS166" s="48"/>
      <c r="AT166" s="48"/>
      <c r="AU166" s="48"/>
      <c r="AV166" s="48"/>
      <c r="AW166" s="48"/>
      <c r="AX166" s="48"/>
      <c r="AY166" s="48"/>
      <c r="AZ166" s="48"/>
      <c r="BA166" s="48"/>
      <c r="BB166" s="48"/>
      <c r="BC166" s="48"/>
      <c r="BD166" s="48"/>
    </row>
    <row r="167" spans="1:56" x14ac:dyDescent="0.25">
      <c r="A167" s="48"/>
      <c r="B167" s="48"/>
      <c r="C167" s="48"/>
      <c r="D167" s="48"/>
      <c r="E167" s="48"/>
      <c r="F167" s="48"/>
      <c r="G167" s="48"/>
      <c r="H167" s="48"/>
      <c r="I167" s="48"/>
      <c r="J167" s="48"/>
      <c r="K167" s="48"/>
      <c r="L167" s="48"/>
      <c r="M167" s="48"/>
      <c r="N167" s="48"/>
      <c r="O167" s="48"/>
      <c r="P167" s="48"/>
      <c r="Q167" s="48"/>
      <c r="R167" s="48"/>
      <c r="S167" s="48"/>
      <c r="T167" s="48"/>
      <c r="U167" s="48"/>
      <c r="V167" s="48"/>
      <c r="W167" s="48"/>
      <c r="X167" s="48"/>
      <c r="Y167" s="48"/>
      <c r="Z167" s="48"/>
      <c r="AA167" s="48"/>
      <c r="AB167" s="48"/>
      <c r="AC167" s="48"/>
      <c r="AD167" s="48"/>
      <c r="AE167" s="48"/>
      <c r="AF167" s="48"/>
      <c r="AG167" s="48"/>
      <c r="AH167" s="48"/>
      <c r="AI167" s="48"/>
      <c r="AJ167" s="48"/>
      <c r="AK167" s="48"/>
      <c r="AL167" s="48"/>
      <c r="AM167" s="48"/>
      <c r="AN167" s="48"/>
      <c r="AO167" s="48"/>
      <c r="AP167" s="48"/>
      <c r="AQ167" s="48"/>
      <c r="AR167" s="48"/>
      <c r="AS167" s="48"/>
      <c r="AT167" s="48"/>
      <c r="AU167" s="48"/>
      <c r="AV167" s="48"/>
      <c r="AW167" s="48"/>
      <c r="AX167" s="48"/>
      <c r="AY167" s="48"/>
      <c r="AZ167" s="48"/>
      <c r="BA167" s="48"/>
      <c r="BB167" s="48"/>
      <c r="BC167" s="48"/>
      <c r="BD167" s="48"/>
    </row>
    <row r="168" spans="1:56" x14ac:dyDescent="0.25">
      <c r="A168" s="48"/>
      <c r="B168" s="48"/>
      <c r="C168" s="48"/>
      <c r="D168" s="48"/>
      <c r="E168" s="48"/>
      <c r="F168" s="48"/>
      <c r="G168" s="48"/>
      <c r="H168" s="48"/>
      <c r="I168" s="48"/>
      <c r="J168" s="48"/>
      <c r="K168" s="48"/>
      <c r="L168" s="48"/>
      <c r="M168" s="48"/>
      <c r="N168" s="48"/>
      <c r="O168" s="48"/>
      <c r="P168" s="48"/>
      <c r="Q168" s="48"/>
      <c r="R168" s="48"/>
      <c r="S168" s="48"/>
      <c r="T168" s="48"/>
      <c r="U168" s="48"/>
      <c r="V168" s="48"/>
      <c r="W168" s="48"/>
      <c r="X168" s="48"/>
      <c r="Y168" s="48"/>
      <c r="Z168" s="48"/>
      <c r="AA168" s="48"/>
      <c r="AB168" s="48"/>
      <c r="AC168" s="48"/>
      <c r="AD168" s="48"/>
      <c r="AE168" s="48"/>
      <c r="AF168" s="48"/>
      <c r="AG168" s="48"/>
      <c r="AH168" s="48"/>
      <c r="AI168" s="48"/>
      <c r="AJ168" s="48"/>
      <c r="AK168" s="48"/>
      <c r="AL168" s="48"/>
      <c r="AM168" s="48"/>
      <c r="AN168" s="48"/>
      <c r="AO168" s="48"/>
      <c r="AP168" s="48"/>
      <c r="AQ168" s="48"/>
      <c r="AR168" s="48"/>
      <c r="AS168" s="48"/>
      <c r="AT168" s="48"/>
      <c r="AU168" s="48"/>
      <c r="AV168" s="48"/>
      <c r="AW168" s="48"/>
      <c r="AX168" s="48"/>
      <c r="AY168" s="48"/>
      <c r="AZ168" s="48"/>
      <c r="BA168" s="48"/>
      <c r="BB168" s="48"/>
      <c r="BC168" s="48"/>
      <c r="BD168" s="48"/>
    </row>
    <row r="169" spans="1:56" x14ac:dyDescent="0.25">
      <c r="A169" s="48"/>
      <c r="B169" s="48"/>
      <c r="C169" s="48"/>
      <c r="D169" s="48"/>
      <c r="E169" s="48"/>
      <c r="F169" s="48"/>
      <c r="G169" s="48"/>
      <c r="H169" s="48"/>
      <c r="I169" s="48"/>
      <c r="J169" s="48"/>
      <c r="K169" s="48"/>
      <c r="L169" s="48"/>
      <c r="M169" s="48"/>
      <c r="N169" s="48"/>
      <c r="O169" s="48"/>
      <c r="P169" s="48"/>
      <c r="Q169" s="48"/>
      <c r="R169" s="48"/>
      <c r="S169" s="48"/>
      <c r="T169" s="48"/>
      <c r="U169" s="48"/>
      <c r="V169" s="48"/>
      <c r="W169" s="48"/>
      <c r="X169" s="48"/>
      <c r="Y169" s="48"/>
      <c r="Z169" s="48"/>
      <c r="AA169" s="48"/>
      <c r="AB169" s="48"/>
      <c r="AC169" s="48"/>
      <c r="AD169" s="48"/>
      <c r="AE169" s="48"/>
      <c r="AF169" s="48"/>
      <c r="AG169" s="48"/>
      <c r="AH169" s="48"/>
      <c r="AI169" s="48"/>
      <c r="AJ169" s="48"/>
      <c r="AK169" s="48"/>
      <c r="AL169" s="48"/>
      <c r="AM169" s="48"/>
      <c r="AN169" s="48"/>
      <c r="AO169" s="48"/>
      <c r="AP169" s="48"/>
      <c r="AQ169" s="48"/>
      <c r="AR169" s="48"/>
      <c r="AS169" s="48"/>
      <c r="AT169" s="48"/>
      <c r="AU169" s="48"/>
      <c r="AV169" s="48"/>
      <c r="AW169" s="48"/>
      <c r="AX169" s="48"/>
      <c r="AY169" s="48"/>
      <c r="AZ169" s="48"/>
      <c r="BA169" s="48"/>
      <c r="BB169" s="48"/>
      <c r="BC169" s="48"/>
      <c r="BD169" s="48"/>
    </row>
    <row r="170" spans="1:56" x14ac:dyDescent="0.25">
      <c r="A170" s="48"/>
      <c r="B170" s="48"/>
      <c r="C170" s="48"/>
      <c r="D170" s="48"/>
      <c r="E170" s="48"/>
      <c r="F170" s="48"/>
      <c r="G170" s="48"/>
      <c r="H170" s="48"/>
      <c r="I170" s="48"/>
      <c r="J170" s="48"/>
      <c r="K170" s="48"/>
      <c r="L170" s="48"/>
      <c r="M170" s="48"/>
      <c r="N170" s="48"/>
      <c r="O170" s="48"/>
      <c r="P170" s="48"/>
      <c r="Q170" s="48"/>
      <c r="R170" s="48"/>
      <c r="S170" s="48"/>
      <c r="T170" s="48"/>
      <c r="U170" s="48"/>
      <c r="V170" s="48"/>
      <c r="W170" s="48"/>
      <c r="X170" s="48"/>
      <c r="Y170" s="48"/>
      <c r="Z170" s="48"/>
      <c r="AA170" s="48"/>
      <c r="AB170" s="48"/>
      <c r="AC170" s="48"/>
      <c r="AD170" s="48"/>
      <c r="AE170" s="48"/>
      <c r="AF170" s="48"/>
      <c r="AG170" s="48"/>
      <c r="AH170" s="48"/>
      <c r="AI170" s="48"/>
      <c r="AJ170" s="48"/>
      <c r="AK170" s="48"/>
      <c r="AL170" s="48"/>
      <c r="AM170" s="48"/>
      <c r="AN170" s="48"/>
      <c r="AO170" s="48"/>
      <c r="AP170" s="48"/>
      <c r="AQ170" s="48"/>
      <c r="AR170" s="48"/>
      <c r="AS170" s="48"/>
      <c r="AT170" s="48"/>
      <c r="AU170" s="48"/>
      <c r="AV170" s="48"/>
      <c r="AW170" s="48"/>
      <c r="AX170" s="48"/>
      <c r="AY170" s="48"/>
      <c r="AZ170" s="48"/>
      <c r="BA170" s="48"/>
      <c r="BB170" s="48"/>
      <c r="BC170" s="48"/>
      <c r="BD170" s="48"/>
    </row>
    <row r="171" spans="1:56" x14ac:dyDescent="0.25">
      <c r="A171" s="48"/>
      <c r="B171" s="48"/>
      <c r="C171" s="48"/>
      <c r="D171" s="48"/>
      <c r="E171" s="48"/>
      <c r="F171" s="48"/>
      <c r="G171" s="48"/>
      <c r="H171" s="48"/>
      <c r="I171" s="48"/>
      <c r="J171" s="48"/>
      <c r="K171" s="48"/>
      <c r="L171" s="48"/>
      <c r="M171" s="48"/>
      <c r="N171" s="48"/>
      <c r="O171" s="48"/>
      <c r="P171" s="48"/>
      <c r="Q171" s="48"/>
      <c r="R171" s="48"/>
      <c r="S171" s="48"/>
      <c r="T171" s="48"/>
      <c r="U171" s="48"/>
      <c r="V171" s="48"/>
      <c r="W171" s="48"/>
      <c r="X171" s="48"/>
      <c r="Y171" s="48"/>
      <c r="Z171" s="48"/>
      <c r="AA171" s="48"/>
      <c r="AB171" s="48"/>
      <c r="AC171" s="48"/>
      <c r="AD171" s="48"/>
      <c r="AE171" s="48"/>
      <c r="AF171" s="48"/>
      <c r="AG171" s="48"/>
      <c r="AH171" s="48"/>
      <c r="AI171" s="48"/>
      <c r="AJ171" s="48"/>
      <c r="AK171" s="48"/>
      <c r="AL171" s="48"/>
      <c r="AM171" s="48"/>
      <c r="AN171" s="48"/>
      <c r="AO171" s="48"/>
      <c r="AP171" s="48"/>
      <c r="AQ171" s="48"/>
      <c r="AR171" s="48"/>
      <c r="AS171" s="48"/>
      <c r="AT171" s="48"/>
      <c r="AU171" s="48"/>
      <c r="AV171" s="48"/>
      <c r="AW171" s="48"/>
      <c r="AX171" s="48"/>
      <c r="AY171" s="48"/>
      <c r="AZ171" s="48"/>
      <c r="BA171" s="48"/>
      <c r="BB171" s="48"/>
      <c r="BC171" s="48"/>
      <c r="BD171" s="48"/>
    </row>
    <row r="172" spans="1:56" x14ac:dyDescent="0.25">
      <c r="A172" s="48"/>
      <c r="B172" s="48"/>
      <c r="C172" s="48"/>
      <c r="D172" s="48"/>
      <c r="E172" s="48"/>
      <c r="F172" s="48"/>
      <c r="G172" s="48"/>
      <c r="H172" s="48"/>
      <c r="I172" s="48"/>
      <c r="J172" s="48"/>
      <c r="K172" s="48"/>
      <c r="L172" s="48"/>
      <c r="M172" s="48"/>
      <c r="N172" s="48"/>
      <c r="O172" s="48"/>
      <c r="P172" s="48"/>
      <c r="Q172" s="48"/>
      <c r="R172" s="48"/>
      <c r="S172" s="48"/>
      <c r="T172" s="48"/>
      <c r="U172" s="48"/>
      <c r="V172" s="48"/>
      <c r="W172" s="48"/>
      <c r="X172" s="48"/>
      <c r="Y172" s="48"/>
      <c r="Z172" s="48"/>
      <c r="AA172" s="48"/>
      <c r="AB172" s="48"/>
      <c r="AC172" s="48"/>
      <c r="AD172" s="48"/>
      <c r="AE172" s="48"/>
      <c r="AF172" s="48"/>
      <c r="AG172" s="48"/>
      <c r="AH172" s="48"/>
      <c r="AI172" s="48"/>
      <c r="AJ172" s="48"/>
      <c r="AK172" s="48"/>
      <c r="AL172" s="48"/>
      <c r="AM172" s="48"/>
      <c r="AN172" s="48"/>
      <c r="AO172" s="48"/>
      <c r="AP172" s="48"/>
      <c r="AQ172" s="48"/>
      <c r="AR172" s="48"/>
      <c r="AS172" s="48"/>
      <c r="AT172" s="48"/>
      <c r="AU172" s="48"/>
      <c r="AV172" s="48"/>
      <c r="AW172" s="48"/>
      <c r="AX172" s="48"/>
      <c r="AY172" s="48"/>
      <c r="AZ172" s="48"/>
      <c r="BA172" s="48"/>
      <c r="BB172" s="48"/>
      <c r="BC172" s="48"/>
      <c r="BD172" s="48"/>
    </row>
    <row r="173" spans="1:56" x14ac:dyDescent="0.25">
      <c r="A173" s="48"/>
      <c r="B173" s="48"/>
      <c r="C173" s="48"/>
      <c r="D173" s="48"/>
      <c r="E173" s="48"/>
      <c r="F173" s="48"/>
      <c r="G173" s="48"/>
      <c r="H173" s="48"/>
      <c r="I173" s="48"/>
      <c r="J173" s="48"/>
      <c r="K173" s="48"/>
      <c r="L173" s="48"/>
      <c r="M173" s="48"/>
      <c r="N173" s="48"/>
      <c r="O173" s="48"/>
      <c r="P173" s="48"/>
      <c r="Q173" s="48"/>
      <c r="R173" s="48"/>
      <c r="S173" s="48"/>
      <c r="T173" s="48"/>
      <c r="U173" s="48"/>
      <c r="V173" s="48"/>
      <c r="W173" s="48"/>
      <c r="X173" s="48"/>
      <c r="Y173" s="48"/>
      <c r="Z173" s="48"/>
      <c r="AA173" s="48"/>
      <c r="AB173" s="48"/>
      <c r="AC173" s="48"/>
      <c r="AD173" s="48"/>
      <c r="AE173" s="48"/>
      <c r="AF173" s="48"/>
      <c r="AG173" s="48"/>
      <c r="AH173" s="48"/>
      <c r="AI173" s="48"/>
      <c r="AJ173" s="48"/>
      <c r="AK173" s="48"/>
      <c r="AL173" s="48"/>
      <c r="AM173" s="48"/>
      <c r="AN173" s="48"/>
      <c r="AO173" s="48"/>
      <c r="AP173" s="48"/>
      <c r="AQ173" s="48"/>
      <c r="AR173" s="48"/>
      <c r="AS173" s="48"/>
      <c r="AT173" s="48"/>
      <c r="AU173" s="48"/>
      <c r="AV173" s="48"/>
      <c r="AW173" s="48"/>
      <c r="AX173" s="48"/>
      <c r="AY173" s="48"/>
      <c r="AZ173" s="48"/>
      <c r="BA173" s="48"/>
      <c r="BB173" s="48"/>
      <c r="BC173" s="48"/>
      <c r="BD173" s="48"/>
    </row>
    <row r="174" spans="1:56" x14ac:dyDescent="0.25">
      <c r="A174" s="48"/>
      <c r="B174" s="48"/>
      <c r="C174" s="48"/>
      <c r="D174" s="48"/>
      <c r="E174" s="48"/>
      <c r="F174" s="48"/>
      <c r="G174" s="48"/>
      <c r="H174" s="48"/>
      <c r="I174" s="48"/>
      <c r="J174" s="48"/>
      <c r="K174" s="48"/>
      <c r="L174" s="48"/>
      <c r="M174" s="48"/>
      <c r="N174" s="48"/>
      <c r="O174" s="48"/>
      <c r="P174" s="48"/>
      <c r="Q174" s="48"/>
      <c r="R174" s="48"/>
      <c r="S174" s="48"/>
      <c r="T174" s="48"/>
      <c r="U174" s="48"/>
      <c r="V174" s="48"/>
      <c r="W174" s="48"/>
      <c r="X174" s="48"/>
      <c r="Y174" s="48"/>
      <c r="Z174" s="48"/>
      <c r="AA174" s="48"/>
      <c r="AB174" s="48"/>
      <c r="AC174" s="48"/>
      <c r="AD174" s="48"/>
      <c r="AE174" s="48"/>
      <c r="AF174" s="48"/>
      <c r="AG174" s="48"/>
      <c r="AH174" s="48"/>
      <c r="AI174" s="48"/>
      <c r="AJ174" s="48"/>
      <c r="AK174" s="48"/>
      <c r="AL174" s="48"/>
      <c r="AM174" s="48"/>
      <c r="AN174" s="48"/>
      <c r="AO174" s="48"/>
      <c r="AP174" s="48"/>
      <c r="AQ174" s="48"/>
      <c r="AR174" s="48"/>
      <c r="AS174" s="48"/>
      <c r="AT174" s="48"/>
      <c r="AU174" s="48"/>
      <c r="AV174" s="48"/>
      <c r="AW174" s="48"/>
      <c r="AX174" s="48"/>
      <c r="AY174" s="48"/>
      <c r="AZ174" s="48"/>
      <c r="BA174" s="48"/>
      <c r="BB174" s="48"/>
      <c r="BC174" s="48"/>
      <c r="BD174" s="48"/>
    </row>
    <row r="175" spans="1:56" x14ac:dyDescent="0.25">
      <c r="A175" s="48"/>
      <c r="B175" s="48"/>
      <c r="C175" s="48"/>
      <c r="D175" s="48"/>
      <c r="E175" s="48"/>
      <c r="F175" s="48"/>
      <c r="G175" s="48"/>
      <c r="H175" s="48"/>
      <c r="I175" s="48"/>
      <c r="J175" s="48"/>
      <c r="K175" s="48"/>
      <c r="L175" s="48"/>
      <c r="M175" s="48"/>
      <c r="N175" s="48"/>
      <c r="O175" s="48"/>
      <c r="P175" s="48"/>
      <c r="Q175" s="48"/>
      <c r="R175" s="48"/>
      <c r="S175" s="48"/>
      <c r="T175" s="48"/>
      <c r="U175" s="48"/>
      <c r="V175" s="48"/>
      <c r="W175" s="48"/>
      <c r="X175" s="48"/>
      <c r="Y175" s="48"/>
      <c r="Z175" s="48"/>
      <c r="AA175" s="48"/>
      <c r="AB175" s="48"/>
      <c r="AC175" s="48"/>
      <c r="AD175" s="48"/>
      <c r="AE175" s="48"/>
      <c r="AF175" s="48"/>
      <c r="AG175" s="48"/>
      <c r="AH175" s="48"/>
      <c r="AI175" s="48"/>
      <c r="AJ175" s="48"/>
      <c r="AK175" s="48"/>
      <c r="AL175" s="48"/>
      <c r="AM175" s="48"/>
      <c r="AN175" s="48"/>
      <c r="AO175" s="48"/>
      <c r="AP175" s="48"/>
      <c r="AQ175" s="48"/>
      <c r="AR175" s="48"/>
      <c r="AS175" s="48"/>
      <c r="AT175" s="48"/>
      <c r="AU175" s="48"/>
      <c r="AV175" s="48"/>
      <c r="AW175" s="48"/>
      <c r="AX175" s="48"/>
      <c r="AY175" s="48"/>
      <c r="AZ175" s="48"/>
      <c r="BA175" s="48"/>
      <c r="BB175" s="48"/>
      <c r="BC175" s="48"/>
      <c r="BD175" s="48"/>
    </row>
    <row r="176" spans="1:56" x14ac:dyDescent="0.25">
      <c r="A176" s="48"/>
      <c r="B176" s="48"/>
      <c r="C176" s="48"/>
      <c r="D176" s="48"/>
      <c r="E176" s="48"/>
      <c r="F176" s="48"/>
      <c r="G176" s="48"/>
      <c r="H176" s="48"/>
      <c r="I176" s="48"/>
      <c r="J176" s="48"/>
      <c r="K176" s="48"/>
      <c r="L176" s="48"/>
      <c r="M176" s="48"/>
      <c r="N176" s="48"/>
      <c r="O176" s="48"/>
      <c r="P176" s="48"/>
      <c r="Q176" s="48"/>
      <c r="R176" s="48"/>
      <c r="S176" s="48"/>
      <c r="T176" s="48"/>
      <c r="U176" s="48"/>
      <c r="V176" s="48"/>
      <c r="W176" s="48"/>
      <c r="X176" s="48"/>
      <c r="Y176" s="48"/>
      <c r="Z176" s="48"/>
      <c r="AA176" s="48"/>
      <c r="AB176" s="48"/>
      <c r="AC176" s="48"/>
      <c r="AD176" s="48"/>
      <c r="AE176" s="48"/>
      <c r="AF176" s="48"/>
      <c r="AG176" s="48"/>
      <c r="AH176" s="48"/>
      <c r="AI176" s="48"/>
      <c r="AJ176" s="48"/>
      <c r="AK176" s="48"/>
      <c r="AL176" s="48"/>
      <c r="AM176" s="48"/>
      <c r="AN176" s="48"/>
      <c r="AO176" s="48"/>
      <c r="AP176" s="48"/>
      <c r="AQ176" s="48"/>
      <c r="AR176" s="48"/>
      <c r="AS176" s="48"/>
      <c r="AT176" s="48"/>
      <c r="AU176" s="48"/>
      <c r="AV176" s="48"/>
      <c r="AW176" s="48"/>
      <c r="AX176" s="48"/>
      <c r="AY176" s="48"/>
      <c r="AZ176" s="48"/>
      <c r="BA176" s="48"/>
      <c r="BB176" s="48"/>
      <c r="BC176" s="48"/>
      <c r="BD176" s="48"/>
    </row>
    <row r="177" spans="1:56" x14ac:dyDescent="0.25">
      <c r="A177" s="48"/>
      <c r="B177" s="48"/>
      <c r="C177" s="48"/>
      <c r="D177" s="48"/>
      <c r="E177" s="48"/>
      <c r="F177" s="48"/>
      <c r="G177" s="48"/>
      <c r="H177" s="48"/>
      <c r="I177" s="48"/>
      <c r="J177" s="48"/>
      <c r="K177" s="48"/>
      <c r="L177" s="48"/>
      <c r="M177" s="48"/>
      <c r="N177" s="48"/>
      <c r="O177" s="48"/>
      <c r="P177" s="48"/>
      <c r="Q177" s="48"/>
      <c r="R177" s="48"/>
      <c r="S177" s="48"/>
      <c r="T177" s="48"/>
      <c r="U177" s="48"/>
      <c r="V177" s="48"/>
      <c r="W177" s="48"/>
      <c r="X177" s="48"/>
      <c r="Y177" s="48"/>
      <c r="Z177" s="48"/>
      <c r="AA177" s="48"/>
      <c r="AB177" s="48"/>
      <c r="AC177" s="48"/>
      <c r="AD177" s="48"/>
      <c r="AE177" s="48"/>
      <c r="AF177" s="48"/>
      <c r="AG177" s="48"/>
      <c r="AH177" s="48"/>
      <c r="AI177" s="48"/>
      <c r="AJ177" s="48"/>
      <c r="AK177" s="48"/>
      <c r="AL177" s="48"/>
      <c r="AM177" s="48"/>
      <c r="AN177" s="48"/>
      <c r="AO177" s="48"/>
      <c r="AP177" s="48"/>
      <c r="AQ177" s="48"/>
      <c r="AR177" s="48"/>
      <c r="AS177" s="48"/>
      <c r="AT177" s="48"/>
      <c r="AU177" s="48"/>
      <c r="AV177" s="48"/>
      <c r="AW177" s="48"/>
      <c r="AX177" s="48"/>
      <c r="AY177" s="48"/>
      <c r="AZ177" s="48"/>
      <c r="BA177" s="48"/>
      <c r="BB177" s="48"/>
      <c r="BC177" s="48"/>
      <c r="BD177" s="48"/>
    </row>
    <row r="178" spans="1:56" x14ac:dyDescent="0.25">
      <c r="A178" s="48"/>
      <c r="B178" s="48"/>
      <c r="C178" s="48"/>
      <c r="D178" s="48"/>
      <c r="E178" s="48"/>
      <c r="F178" s="48"/>
      <c r="G178" s="48"/>
      <c r="H178" s="48"/>
      <c r="I178" s="48"/>
      <c r="J178" s="48"/>
      <c r="K178" s="48"/>
      <c r="L178" s="48"/>
      <c r="M178" s="48"/>
      <c r="N178" s="48"/>
      <c r="O178" s="48"/>
      <c r="P178" s="48"/>
      <c r="Q178" s="48"/>
      <c r="R178" s="48"/>
      <c r="S178" s="48"/>
      <c r="T178" s="48"/>
      <c r="U178" s="48"/>
      <c r="V178" s="48"/>
      <c r="W178" s="48"/>
      <c r="X178" s="48"/>
      <c r="Y178" s="48"/>
      <c r="Z178" s="48"/>
      <c r="AA178" s="48"/>
      <c r="AB178" s="48"/>
      <c r="AC178" s="48"/>
      <c r="AD178" s="48"/>
      <c r="AE178" s="48"/>
      <c r="AF178" s="48"/>
      <c r="AG178" s="48"/>
      <c r="AH178" s="48"/>
      <c r="AI178" s="48"/>
      <c r="AJ178" s="48"/>
      <c r="AK178" s="48"/>
      <c r="AL178" s="48"/>
      <c r="AM178" s="48"/>
      <c r="AN178" s="48"/>
      <c r="AO178" s="48"/>
      <c r="AP178" s="48"/>
      <c r="AQ178" s="48"/>
      <c r="AR178" s="48"/>
      <c r="AS178" s="48"/>
      <c r="AT178" s="48"/>
      <c r="AU178" s="48"/>
      <c r="AV178" s="48"/>
      <c r="AW178" s="48"/>
      <c r="AX178" s="48"/>
      <c r="AY178" s="48"/>
      <c r="AZ178" s="48"/>
      <c r="BA178" s="48"/>
      <c r="BB178" s="48"/>
      <c r="BC178" s="48"/>
      <c r="BD178" s="48"/>
    </row>
    <row r="179" spans="1:56" x14ac:dyDescent="0.25">
      <c r="A179" s="48"/>
      <c r="B179" s="48"/>
      <c r="C179" s="48"/>
      <c r="D179" s="48"/>
      <c r="E179" s="48"/>
      <c r="F179" s="48"/>
      <c r="G179" s="48"/>
      <c r="H179" s="48"/>
      <c r="I179" s="48"/>
      <c r="J179" s="48"/>
      <c r="K179" s="48"/>
      <c r="L179" s="48"/>
      <c r="M179" s="48"/>
      <c r="N179" s="48"/>
      <c r="O179" s="48"/>
      <c r="P179" s="48"/>
      <c r="Q179" s="48"/>
      <c r="R179" s="48"/>
      <c r="S179" s="48"/>
      <c r="T179" s="48"/>
      <c r="U179" s="48"/>
      <c r="V179" s="48"/>
      <c r="W179" s="48"/>
      <c r="X179" s="48"/>
      <c r="Y179" s="48"/>
      <c r="Z179" s="48"/>
      <c r="AA179" s="48"/>
      <c r="AB179" s="48"/>
      <c r="AC179" s="48"/>
      <c r="AD179" s="48"/>
      <c r="AE179" s="48"/>
      <c r="AF179" s="48"/>
      <c r="AG179" s="48"/>
      <c r="AH179" s="48"/>
      <c r="AI179" s="48"/>
      <c r="AJ179" s="48"/>
      <c r="AK179" s="48"/>
      <c r="AL179" s="48"/>
      <c r="AM179" s="48"/>
      <c r="AN179" s="48"/>
      <c r="AO179" s="48"/>
      <c r="AP179" s="48"/>
      <c r="AQ179" s="48"/>
      <c r="AR179" s="48"/>
      <c r="AS179" s="48"/>
      <c r="AT179" s="48"/>
      <c r="AU179" s="48"/>
      <c r="AV179" s="48"/>
      <c r="AW179" s="48"/>
      <c r="AX179" s="48"/>
      <c r="AY179" s="48"/>
      <c r="AZ179" s="48"/>
      <c r="BA179" s="48"/>
      <c r="BB179" s="48"/>
      <c r="BC179" s="48"/>
      <c r="BD179" s="48"/>
    </row>
    <row r="180" spans="1:56" x14ac:dyDescent="0.25">
      <c r="A180" s="48"/>
      <c r="B180" s="48"/>
      <c r="C180" s="48"/>
      <c r="D180" s="48"/>
      <c r="E180" s="48"/>
      <c r="F180" s="48"/>
      <c r="G180" s="48"/>
      <c r="H180" s="48"/>
      <c r="I180" s="48"/>
      <c r="J180" s="48"/>
      <c r="K180" s="48"/>
      <c r="L180" s="48"/>
      <c r="M180" s="48"/>
      <c r="N180" s="48"/>
      <c r="O180" s="48"/>
      <c r="P180" s="48"/>
      <c r="Q180" s="48"/>
      <c r="R180" s="48"/>
      <c r="S180" s="48"/>
      <c r="T180" s="48"/>
      <c r="U180" s="48"/>
      <c r="V180" s="48"/>
      <c r="W180" s="48"/>
      <c r="X180" s="48"/>
      <c r="Y180" s="48"/>
      <c r="Z180" s="48"/>
      <c r="AA180" s="48"/>
      <c r="AB180" s="48"/>
      <c r="AC180" s="48"/>
      <c r="AD180" s="48"/>
      <c r="AE180" s="48"/>
      <c r="AF180" s="48"/>
      <c r="AG180" s="48"/>
      <c r="AH180" s="48"/>
      <c r="AI180" s="48"/>
      <c r="AJ180" s="48"/>
      <c r="AK180" s="48"/>
      <c r="AL180" s="48"/>
      <c r="AM180" s="48"/>
      <c r="AN180" s="48"/>
      <c r="AO180" s="48"/>
      <c r="AP180" s="48"/>
      <c r="AQ180" s="48"/>
      <c r="AR180" s="48"/>
      <c r="AS180" s="48"/>
      <c r="AT180" s="48"/>
      <c r="AU180" s="48"/>
      <c r="AV180" s="48"/>
      <c r="AW180" s="48"/>
      <c r="AX180" s="48"/>
      <c r="AY180" s="48"/>
      <c r="AZ180" s="48"/>
      <c r="BA180" s="48"/>
      <c r="BB180" s="48"/>
      <c r="BC180" s="48"/>
      <c r="BD180" s="48"/>
    </row>
    <row r="181" spans="1:56" x14ac:dyDescent="0.25">
      <c r="A181" s="48"/>
      <c r="B181" s="48"/>
      <c r="C181" s="48"/>
      <c r="D181" s="48"/>
      <c r="E181" s="48"/>
      <c r="F181" s="48"/>
      <c r="G181" s="48"/>
      <c r="H181" s="48"/>
      <c r="I181" s="48"/>
      <c r="J181" s="48"/>
      <c r="K181" s="48"/>
      <c r="L181" s="48"/>
      <c r="M181" s="48"/>
      <c r="N181" s="48"/>
      <c r="O181" s="48"/>
      <c r="P181" s="48"/>
      <c r="Q181" s="48"/>
      <c r="R181" s="48"/>
      <c r="S181" s="48"/>
      <c r="T181" s="48"/>
      <c r="U181" s="48"/>
      <c r="V181" s="48"/>
      <c r="W181" s="48"/>
      <c r="X181" s="48"/>
      <c r="Y181" s="48"/>
      <c r="Z181" s="48"/>
      <c r="AA181" s="48"/>
      <c r="AB181" s="48"/>
      <c r="AC181" s="48"/>
      <c r="AD181" s="48"/>
      <c r="AE181" s="48"/>
      <c r="AF181" s="48"/>
      <c r="AG181" s="48"/>
      <c r="AH181" s="48"/>
      <c r="AI181" s="48"/>
      <c r="AJ181" s="48"/>
      <c r="AK181" s="48"/>
      <c r="AL181" s="48"/>
      <c r="AM181" s="48"/>
      <c r="AN181" s="48"/>
      <c r="AO181" s="48"/>
      <c r="AP181" s="48"/>
      <c r="AQ181" s="48"/>
      <c r="AR181" s="48"/>
      <c r="AS181" s="48"/>
      <c r="AT181" s="48"/>
      <c r="AU181" s="48"/>
      <c r="AV181" s="48"/>
      <c r="AW181" s="48"/>
      <c r="AX181" s="48"/>
      <c r="AY181" s="48"/>
      <c r="AZ181" s="48"/>
      <c r="BA181" s="48"/>
      <c r="BB181" s="48"/>
      <c r="BC181" s="48"/>
      <c r="BD181" s="48"/>
    </row>
    <row r="182" spans="1:56" x14ac:dyDescent="0.25">
      <c r="A182" s="48"/>
      <c r="B182" s="48"/>
      <c r="C182" s="48"/>
      <c r="D182" s="48"/>
      <c r="E182" s="48"/>
      <c r="F182" s="48"/>
      <c r="G182" s="48"/>
      <c r="H182" s="48"/>
      <c r="I182" s="48"/>
      <c r="J182" s="48"/>
      <c r="K182" s="48"/>
      <c r="L182" s="48"/>
      <c r="M182" s="48"/>
      <c r="N182" s="48"/>
      <c r="O182" s="48"/>
      <c r="P182" s="48"/>
      <c r="Q182" s="48"/>
      <c r="R182" s="48"/>
      <c r="S182" s="48"/>
      <c r="T182" s="48"/>
      <c r="U182" s="48"/>
      <c r="V182" s="48"/>
      <c r="W182" s="48"/>
      <c r="X182" s="48"/>
      <c r="Y182" s="48"/>
      <c r="Z182" s="48"/>
      <c r="AA182" s="48"/>
      <c r="AB182" s="48"/>
      <c r="AC182" s="48"/>
      <c r="AD182" s="48"/>
      <c r="AE182" s="48"/>
      <c r="AF182" s="48"/>
      <c r="AG182" s="48"/>
      <c r="AH182" s="48"/>
      <c r="AI182" s="48"/>
      <c r="AJ182" s="48"/>
      <c r="AK182" s="48"/>
      <c r="AL182" s="48"/>
      <c r="AM182" s="48"/>
      <c r="AN182" s="48"/>
      <c r="AO182" s="48"/>
      <c r="AP182" s="48"/>
      <c r="AQ182" s="48"/>
      <c r="AR182" s="48"/>
      <c r="AS182" s="48"/>
      <c r="AT182" s="48"/>
      <c r="AU182" s="48"/>
      <c r="AV182" s="48"/>
      <c r="AW182" s="48"/>
      <c r="AX182" s="48"/>
      <c r="AY182" s="48"/>
      <c r="AZ182" s="48"/>
      <c r="BA182" s="48"/>
      <c r="BB182" s="48"/>
      <c r="BC182" s="48"/>
      <c r="BD182" s="48"/>
    </row>
    <row r="183" spans="1:56" x14ac:dyDescent="0.25">
      <c r="A183" s="48"/>
      <c r="B183" s="48"/>
      <c r="C183" s="48"/>
      <c r="D183" s="48"/>
      <c r="E183" s="48"/>
      <c r="F183" s="48"/>
      <c r="G183" s="48"/>
      <c r="H183" s="48"/>
      <c r="I183" s="48"/>
      <c r="J183" s="48"/>
      <c r="K183" s="48"/>
      <c r="L183" s="48"/>
      <c r="M183" s="48"/>
      <c r="N183" s="48"/>
      <c r="O183" s="48"/>
      <c r="P183" s="48"/>
      <c r="Q183" s="48"/>
      <c r="R183" s="48"/>
      <c r="S183" s="48"/>
      <c r="T183" s="48"/>
      <c r="U183" s="48"/>
      <c r="V183" s="48"/>
      <c r="W183" s="48"/>
      <c r="X183" s="48"/>
      <c r="Y183" s="48"/>
      <c r="Z183" s="48"/>
      <c r="AA183" s="48"/>
      <c r="AB183" s="48"/>
      <c r="AC183" s="48"/>
      <c r="AD183" s="48"/>
      <c r="AE183" s="48"/>
      <c r="AF183" s="48"/>
      <c r="AG183" s="48"/>
      <c r="AH183" s="48"/>
      <c r="AI183" s="48"/>
      <c r="AJ183" s="48"/>
      <c r="AK183" s="48"/>
      <c r="AL183" s="48"/>
      <c r="AM183" s="48"/>
      <c r="AN183" s="48"/>
      <c r="AO183" s="48"/>
      <c r="AP183" s="48"/>
      <c r="AQ183" s="48"/>
      <c r="AR183" s="48"/>
      <c r="AS183" s="48"/>
      <c r="AT183" s="48"/>
      <c r="AU183" s="48"/>
      <c r="AV183" s="48"/>
      <c r="AW183" s="48"/>
      <c r="AX183" s="48"/>
      <c r="AY183" s="48"/>
      <c r="AZ183" s="48"/>
      <c r="BA183" s="48"/>
      <c r="BB183" s="48"/>
      <c r="BC183" s="48"/>
      <c r="BD183" s="48"/>
    </row>
    <row r="184" spans="1:56" x14ac:dyDescent="0.25">
      <c r="A184" s="48"/>
      <c r="B184" s="48"/>
      <c r="C184" s="48"/>
      <c r="D184" s="48"/>
      <c r="E184" s="48"/>
      <c r="F184" s="48"/>
      <c r="G184" s="48"/>
      <c r="H184" s="48"/>
      <c r="I184" s="48"/>
      <c r="J184" s="48"/>
      <c r="K184" s="48"/>
      <c r="L184" s="48"/>
      <c r="M184" s="48"/>
      <c r="N184" s="48"/>
      <c r="O184" s="48"/>
      <c r="P184" s="48"/>
      <c r="Q184" s="48"/>
      <c r="R184" s="48"/>
      <c r="S184" s="48"/>
      <c r="T184" s="48"/>
      <c r="U184" s="48"/>
      <c r="V184" s="48"/>
      <c r="W184" s="48"/>
      <c r="X184" s="48"/>
      <c r="Y184" s="48"/>
      <c r="Z184" s="48"/>
      <c r="AA184" s="48"/>
      <c r="AB184" s="48"/>
      <c r="AC184" s="48"/>
      <c r="AD184" s="48"/>
      <c r="AE184" s="48"/>
      <c r="AF184" s="48"/>
      <c r="AG184" s="48"/>
      <c r="AH184" s="48"/>
      <c r="AI184" s="48"/>
      <c r="AJ184" s="48"/>
      <c r="AK184" s="48"/>
      <c r="AL184" s="48"/>
      <c r="AM184" s="48"/>
      <c r="AN184" s="48"/>
      <c r="AO184" s="48"/>
      <c r="AP184" s="48"/>
      <c r="AQ184" s="48"/>
      <c r="AR184" s="48"/>
      <c r="AS184" s="48"/>
      <c r="AT184" s="48"/>
      <c r="AU184" s="48"/>
      <c r="AV184" s="48"/>
      <c r="AW184" s="48"/>
      <c r="AX184" s="48"/>
      <c r="AY184" s="48"/>
      <c r="AZ184" s="48"/>
      <c r="BA184" s="48"/>
      <c r="BB184" s="48"/>
      <c r="BC184" s="48"/>
      <c r="BD184" s="48"/>
    </row>
    <row r="185" spans="1:56" x14ac:dyDescent="0.25">
      <c r="A185" s="48"/>
      <c r="B185" s="48"/>
      <c r="C185" s="48"/>
      <c r="D185" s="48"/>
      <c r="E185" s="48"/>
      <c r="F185" s="48"/>
      <c r="G185" s="48"/>
      <c r="H185" s="48"/>
      <c r="I185" s="48"/>
      <c r="J185" s="48"/>
      <c r="K185" s="48"/>
      <c r="L185" s="48"/>
      <c r="M185" s="48"/>
      <c r="N185" s="48"/>
      <c r="O185" s="48"/>
      <c r="P185" s="48"/>
      <c r="Q185" s="48"/>
      <c r="R185" s="48"/>
      <c r="S185" s="48"/>
      <c r="T185" s="48"/>
      <c r="U185" s="48"/>
      <c r="V185" s="48"/>
      <c r="W185" s="48"/>
      <c r="X185" s="48"/>
      <c r="Y185" s="48"/>
      <c r="Z185" s="48"/>
      <c r="AA185" s="48"/>
      <c r="AB185" s="48"/>
      <c r="AC185" s="48"/>
      <c r="AD185" s="48"/>
      <c r="AE185" s="48"/>
      <c r="AF185" s="48"/>
      <c r="AG185" s="48"/>
      <c r="AH185" s="48"/>
      <c r="AI185" s="48"/>
      <c r="AJ185" s="48"/>
      <c r="AK185" s="48"/>
      <c r="AL185" s="48"/>
      <c r="AM185" s="48"/>
      <c r="AN185" s="48"/>
      <c r="AO185" s="48"/>
      <c r="AP185" s="48"/>
      <c r="AQ185" s="48"/>
      <c r="AR185" s="48"/>
      <c r="AS185" s="48"/>
      <c r="AT185" s="48"/>
      <c r="AU185" s="48"/>
      <c r="AV185" s="48"/>
      <c r="AW185" s="48"/>
      <c r="AX185" s="48"/>
      <c r="AY185" s="48"/>
      <c r="AZ185" s="48"/>
      <c r="BA185" s="48"/>
      <c r="BB185" s="48"/>
      <c r="BC185" s="48"/>
      <c r="BD185" s="48"/>
    </row>
    <row r="186" spans="1:56" x14ac:dyDescent="0.25">
      <c r="A186" s="48"/>
      <c r="B186" s="48"/>
      <c r="C186" s="48"/>
      <c r="D186" s="48"/>
      <c r="E186" s="48"/>
      <c r="F186" s="48"/>
      <c r="G186" s="48"/>
      <c r="H186" s="48"/>
      <c r="I186" s="48"/>
      <c r="J186" s="48"/>
      <c r="K186" s="48"/>
      <c r="L186" s="48"/>
      <c r="M186" s="48"/>
      <c r="N186" s="48"/>
      <c r="O186" s="48"/>
      <c r="P186" s="48"/>
      <c r="Q186" s="48"/>
      <c r="R186" s="48"/>
      <c r="S186" s="48"/>
      <c r="T186" s="48"/>
      <c r="U186" s="48"/>
      <c r="V186" s="48"/>
      <c r="W186" s="48"/>
      <c r="X186" s="48"/>
      <c r="Y186" s="48"/>
      <c r="Z186" s="48"/>
      <c r="AA186" s="48"/>
      <c r="AB186" s="48"/>
      <c r="AC186" s="48"/>
      <c r="AD186" s="48"/>
      <c r="AE186" s="48"/>
      <c r="AF186" s="48"/>
      <c r="AG186" s="48"/>
      <c r="AH186" s="48"/>
      <c r="AI186" s="48"/>
      <c r="AJ186" s="48"/>
      <c r="AK186" s="48"/>
      <c r="AL186" s="48"/>
      <c r="AM186" s="48"/>
      <c r="AN186" s="48"/>
      <c r="AO186" s="48"/>
      <c r="AP186" s="48"/>
      <c r="AQ186" s="48"/>
      <c r="AR186" s="48"/>
      <c r="AS186" s="48"/>
      <c r="AT186" s="48"/>
      <c r="AU186" s="48"/>
      <c r="AV186" s="48"/>
      <c r="AW186" s="48"/>
      <c r="AX186" s="48"/>
      <c r="AY186" s="48"/>
      <c r="AZ186" s="48"/>
      <c r="BA186" s="48"/>
      <c r="BB186" s="48"/>
      <c r="BC186" s="48"/>
      <c r="BD186" s="48"/>
    </row>
    <row r="187" spans="1:56" x14ac:dyDescent="0.25">
      <c r="A187" s="48"/>
      <c r="B187" s="48"/>
      <c r="C187" s="48"/>
      <c r="D187" s="48"/>
      <c r="E187" s="48"/>
      <c r="F187" s="48"/>
      <c r="G187" s="48"/>
      <c r="H187" s="48"/>
      <c r="I187" s="48"/>
      <c r="J187" s="48"/>
      <c r="K187" s="48"/>
      <c r="L187" s="48"/>
      <c r="M187" s="48"/>
      <c r="N187" s="48"/>
      <c r="O187" s="48"/>
      <c r="P187" s="48"/>
      <c r="Q187" s="48"/>
      <c r="R187" s="48"/>
      <c r="S187" s="48"/>
      <c r="T187" s="48"/>
      <c r="U187" s="48"/>
      <c r="V187" s="48"/>
      <c r="W187" s="48"/>
      <c r="X187" s="48"/>
      <c r="Y187" s="48"/>
      <c r="Z187" s="48"/>
      <c r="AA187" s="48"/>
      <c r="AB187" s="48"/>
      <c r="AC187" s="48"/>
      <c r="AD187" s="48"/>
      <c r="AE187" s="48"/>
      <c r="AF187" s="48"/>
      <c r="AG187" s="48"/>
      <c r="AH187" s="48"/>
      <c r="AI187" s="48"/>
      <c r="AJ187" s="48"/>
      <c r="AK187" s="48"/>
      <c r="AL187" s="48"/>
      <c r="AM187" s="48"/>
      <c r="AN187" s="48"/>
      <c r="AO187" s="48"/>
      <c r="AP187" s="48"/>
      <c r="AQ187" s="48"/>
      <c r="AR187" s="48"/>
      <c r="AS187" s="48"/>
      <c r="AT187" s="48"/>
      <c r="AU187" s="48"/>
      <c r="AV187" s="48"/>
      <c r="AW187" s="48"/>
      <c r="AX187" s="48"/>
      <c r="AY187" s="48"/>
      <c r="AZ187" s="48"/>
      <c r="BA187" s="48"/>
      <c r="BB187" s="48"/>
      <c r="BC187" s="48"/>
      <c r="BD187" s="48"/>
    </row>
    <row r="188" spans="1:56" x14ac:dyDescent="0.25">
      <c r="A188" s="48"/>
      <c r="B188" s="48"/>
      <c r="C188" s="48"/>
      <c r="D188" s="48"/>
      <c r="E188" s="48"/>
      <c r="F188" s="48"/>
      <c r="G188" s="48"/>
      <c r="H188" s="48"/>
      <c r="I188" s="48"/>
      <c r="J188" s="48"/>
      <c r="K188" s="48"/>
      <c r="L188" s="48"/>
      <c r="M188" s="48"/>
      <c r="N188" s="48"/>
      <c r="O188" s="48"/>
      <c r="P188" s="48"/>
      <c r="Q188" s="48"/>
      <c r="R188" s="48"/>
      <c r="S188" s="48"/>
      <c r="T188" s="48"/>
      <c r="U188" s="48"/>
      <c r="V188" s="48"/>
      <c r="W188" s="48"/>
      <c r="X188" s="48"/>
      <c r="Y188" s="48"/>
      <c r="Z188" s="48"/>
      <c r="AA188" s="48"/>
      <c r="AB188" s="48"/>
      <c r="AC188" s="48"/>
      <c r="AD188" s="48"/>
      <c r="AE188" s="48"/>
      <c r="AF188" s="48"/>
      <c r="AG188" s="48"/>
      <c r="AH188" s="48"/>
      <c r="AI188" s="48"/>
      <c r="AJ188" s="48"/>
      <c r="AK188" s="48"/>
      <c r="AL188" s="48"/>
      <c r="AM188" s="48"/>
      <c r="AN188" s="48"/>
      <c r="AO188" s="48"/>
      <c r="AP188" s="48"/>
      <c r="AQ188" s="48"/>
      <c r="AR188" s="48"/>
      <c r="AS188" s="48"/>
      <c r="AT188" s="48"/>
      <c r="AU188" s="48"/>
      <c r="AV188" s="48"/>
      <c r="AW188" s="48"/>
      <c r="AX188" s="48"/>
      <c r="AY188" s="48"/>
      <c r="AZ188" s="48"/>
      <c r="BA188" s="48"/>
      <c r="BB188" s="48"/>
      <c r="BC188" s="48"/>
      <c r="BD188" s="48"/>
    </row>
    <row r="189" spans="1:56" x14ac:dyDescent="0.25">
      <c r="A189" s="48"/>
      <c r="B189" s="48"/>
      <c r="C189" s="48"/>
      <c r="D189" s="48"/>
      <c r="E189" s="48"/>
      <c r="F189" s="48"/>
      <c r="G189" s="48"/>
      <c r="H189" s="48"/>
      <c r="I189" s="48"/>
      <c r="J189" s="48"/>
      <c r="K189" s="48"/>
      <c r="L189" s="48"/>
      <c r="M189" s="48"/>
      <c r="N189" s="48"/>
      <c r="O189" s="48"/>
      <c r="P189" s="48"/>
      <c r="Q189" s="48"/>
      <c r="R189" s="48"/>
      <c r="S189" s="48"/>
      <c r="T189" s="48"/>
      <c r="U189" s="48"/>
      <c r="V189" s="48"/>
      <c r="W189" s="48"/>
      <c r="X189" s="48"/>
      <c r="Y189" s="48"/>
      <c r="Z189" s="48"/>
      <c r="AA189" s="48"/>
      <c r="AB189" s="48"/>
      <c r="AC189" s="48"/>
      <c r="AD189" s="48"/>
      <c r="AE189" s="48"/>
      <c r="AF189" s="48"/>
      <c r="AG189" s="48"/>
      <c r="AH189" s="48"/>
      <c r="AI189" s="48"/>
      <c r="AJ189" s="48"/>
      <c r="AK189" s="48"/>
      <c r="AL189" s="48"/>
      <c r="AM189" s="48"/>
      <c r="AN189" s="48"/>
      <c r="AO189" s="48"/>
      <c r="AP189" s="48"/>
      <c r="AQ189" s="48"/>
      <c r="AR189" s="48"/>
      <c r="AS189" s="48"/>
      <c r="AT189" s="48"/>
      <c r="AU189" s="48"/>
      <c r="AV189" s="48"/>
      <c r="AW189" s="48"/>
      <c r="AX189" s="48"/>
      <c r="AY189" s="48"/>
      <c r="AZ189" s="48"/>
      <c r="BA189" s="48"/>
      <c r="BB189" s="48"/>
      <c r="BC189" s="48"/>
      <c r="BD189" s="48"/>
    </row>
    <row r="190" spans="1:56" x14ac:dyDescent="0.25">
      <c r="A190" s="48"/>
      <c r="B190" s="48"/>
      <c r="C190" s="48"/>
      <c r="D190" s="48"/>
      <c r="E190" s="48"/>
      <c r="F190" s="48"/>
      <c r="G190" s="48"/>
      <c r="H190" s="48"/>
      <c r="I190" s="48"/>
      <c r="J190" s="48"/>
      <c r="K190" s="48"/>
      <c r="L190" s="48"/>
      <c r="M190" s="48"/>
      <c r="N190" s="48"/>
      <c r="O190" s="48"/>
      <c r="P190" s="48"/>
      <c r="Q190" s="48"/>
      <c r="R190" s="48"/>
      <c r="S190" s="48"/>
      <c r="T190" s="48"/>
      <c r="U190" s="48"/>
      <c r="V190" s="48"/>
      <c r="W190" s="48"/>
      <c r="X190" s="48"/>
      <c r="Y190" s="48"/>
      <c r="Z190" s="48"/>
      <c r="AA190" s="48"/>
      <c r="AB190" s="48"/>
      <c r="AC190" s="48"/>
      <c r="AD190" s="48"/>
      <c r="AE190" s="48"/>
      <c r="AF190" s="48"/>
      <c r="AG190" s="48"/>
      <c r="AH190" s="48"/>
      <c r="AI190" s="48"/>
      <c r="AJ190" s="48"/>
      <c r="AK190" s="48"/>
      <c r="AL190" s="48"/>
      <c r="AM190" s="48"/>
      <c r="AN190" s="48"/>
      <c r="AO190" s="48"/>
      <c r="AP190" s="48"/>
      <c r="AQ190" s="48"/>
      <c r="AR190" s="48"/>
      <c r="AS190" s="48"/>
      <c r="AT190" s="48"/>
      <c r="AU190" s="48"/>
      <c r="AV190" s="48"/>
      <c r="AW190" s="48"/>
      <c r="AX190" s="48"/>
      <c r="AY190" s="48"/>
      <c r="AZ190" s="48"/>
      <c r="BA190" s="48"/>
      <c r="BB190" s="48"/>
      <c r="BC190" s="48"/>
      <c r="BD190" s="48"/>
    </row>
    <row r="191" spans="1:56" x14ac:dyDescent="0.25">
      <c r="A191" s="48"/>
      <c r="B191" s="48"/>
      <c r="C191" s="48"/>
      <c r="D191" s="48"/>
      <c r="E191" s="48"/>
      <c r="F191" s="48"/>
      <c r="G191" s="48"/>
      <c r="H191" s="48"/>
      <c r="I191" s="48"/>
      <c r="J191" s="48"/>
      <c r="K191" s="48"/>
      <c r="L191" s="48"/>
      <c r="M191" s="48"/>
      <c r="N191" s="48"/>
      <c r="O191" s="48"/>
      <c r="P191" s="48"/>
      <c r="Q191" s="48"/>
      <c r="R191" s="48"/>
      <c r="S191" s="48"/>
      <c r="T191" s="48"/>
      <c r="U191" s="48"/>
      <c r="V191" s="48"/>
      <c r="W191" s="48"/>
      <c r="X191" s="48"/>
      <c r="Y191" s="48"/>
      <c r="Z191" s="48"/>
      <c r="AA191" s="48"/>
      <c r="AB191" s="48"/>
      <c r="AC191" s="48"/>
      <c r="AD191" s="48"/>
      <c r="AE191" s="48"/>
      <c r="AF191" s="48"/>
      <c r="AG191" s="48"/>
      <c r="AH191" s="48"/>
      <c r="AI191" s="48"/>
      <c r="AJ191" s="48"/>
      <c r="AK191" s="48"/>
      <c r="AL191" s="48"/>
      <c r="AM191" s="48"/>
      <c r="AN191" s="48"/>
      <c r="AO191" s="48"/>
      <c r="AP191" s="48"/>
      <c r="AQ191" s="48"/>
      <c r="AR191" s="48"/>
      <c r="AS191" s="48"/>
      <c r="AT191" s="48"/>
      <c r="AU191" s="48"/>
      <c r="AV191" s="48"/>
      <c r="AW191" s="48"/>
      <c r="AX191" s="48"/>
      <c r="AY191" s="48"/>
      <c r="AZ191" s="48"/>
      <c r="BA191" s="48"/>
      <c r="BB191" s="48"/>
      <c r="BC191" s="48"/>
      <c r="BD191" s="48"/>
    </row>
    <row r="192" spans="1:56" x14ac:dyDescent="0.25">
      <c r="A192" s="48"/>
      <c r="B192" s="48"/>
      <c r="C192" s="48"/>
      <c r="D192" s="48"/>
      <c r="E192" s="48"/>
      <c r="F192" s="48"/>
      <c r="G192" s="48"/>
      <c r="H192" s="48"/>
      <c r="I192" s="48"/>
      <c r="J192" s="48"/>
      <c r="K192" s="48"/>
      <c r="L192" s="48"/>
      <c r="M192" s="48"/>
      <c r="N192" s="48"/>
      <c r="O192" s="48"/>
      <c r="P192" s="48"/>
      <c r="Q192" s="48"/>
      <c r="R192" s="48"/>
      <c r="S192" s="48"/>
      <c r="T192" s="48"/>
      <c r="U192" s="48"/>
      <c r="V192" s="48"/>
      <c r="W192" s="48"/>
      <c r="X192" s="48"/>
      <c r="Y192" s="48"/>
      <c r="Z192" s="48"/>
      <c r="AA192" s="48"/>
      <c r="AB192" s="48"/>
      <c r="AC192" s="48"/>
      <c r="AD192" s="48"/>
      <c r="AE192" s="48"/>
      <c r="AF192" s="48"/>
      <c r="AG192" s="48"/>
      <c r="AH192" s="48"/>
      <c r="AI192" s="48"/>
      <c r="AJ192" s="48"/>
      <c r="AK192" s="48"/>
      <c r="AL192" s="48"/>
      <c r="AM192" s="48"/>
      <c r="AN192" s="48"/>
      <c r="AO192" s="48"/>
      <c r="AP192" s="48"/>
      <c r="AQ192" s="48"/>
      <c r="AR192" s="48"/>
      <c r="AS192" s="48"/>
      <c r="AT192" s="48"/>
      <c r="AU192" s="48"/>
      <c r="AV192" s="48"/>
      <c r="AW192" s="48"/>
      <c r="AX192" s="48"/>
      <c r="AY192" s="48"/>
      <c r="AZ192" s="48"/>
      <c r="BA192" s="48"/>
      <c r="BB192" s="48"/>
      <c r="BC192" s="48"/>
      <c r="BD192" s="48"/>
    </row>
    <row r="193" spans="1:56" x14ac:dyDescent="0.25">
      <c r="A193" s="48"/>
      <c r="B193" s="48"/>
      <c r="C193" s="48"/>
      <c r="D193" s="48"/>
      <c r="E193" s="48"/>
      <c r="F193" s="48"/>
      <c r="G193" s="48"/>
      <c r="H193" s="48"/>
      <c r="I193" s="48"/>
      <c r="J193" s="48"/>
      <c r="K193" s="48"/>
      <c r="L193" s="48"/>
      <c r="M193" s="48"/>
      <c r="N193" s="48"/>
      <c r="O193" s="48"/>
      <c r="P193" s="48"/>
      <c r="Q193" s="48"/>
      <c r="R193" s="48"/>
      <c r="S193" s="48"/>
      <c r="T193" s="48"/>
      <c r="U193" s="48"/>
      <c r="V193" s="48"/>
      <c r="W193" s="48"/>
      <c r="X193" s="48"/>
      <c r="Y193" s="48"/>
      <c r="Z193" s="48"/>
      <c r="AA193" s="48"/>
      <c r="AB193" s="48"/>
      <c r="AC193" s="48"/>
      <c r="AD193" s="48"/>
      <c r="AE193" s="48"/>
      <c r="AF193" s="48"/>
      <c r="AG193" s="48"/>
      <c r="AH193" s="48"/>
      <c r="AI193" s="48"/>
      <c r="AJ193" s="48"/>
      <c r="AK193" s="48"/>
      <c r="AL193" s="48"/>
      <c r="AM193" s="48"/>
      <c r="AN193" s="48"/>
      <c r="AO193" s="48"/>
      <c r="AP193" s="48"/>
      <c r="AQ193" s="48"/>
      <c r="AR193" s="48"/>
      <c r="AS193" s="48"/>
      <c r="AT193" s="48"/>
      <c r="AU193" s="48"/>
      <c r="AV193" s="48"/>
      <c r="AW193" s="48"/>
      <c r="AX193" s="48"/>
      <c r="AY193" s="48"/>
      <c r="AZ193" s="48"/>
      <c r="BA193" s="48"/>
      <c r="BB193" s="48"/>
      <c r="BC193" s="48"/>
      <c r="BD193" s="48"/>
    </row>
    <row r="194" spans="1:56" x14ac:dyDescent="0.25">
      <c r="A194" s="48"/>
      <c r="B194" s="48"/>
      <c r="C194" s="48"/>
      <c r="D194" s="48"/>
      <c r="E194" s="48"/>
      <c r="F194" s="48"/>
      <c r="G194" s="48"/>
      <c r="H194" s="48"/>
      <c r="I194" s="48"/>
      <c r="J194" s="48"/>
      <c r="K194" s="48"/>
      <c r="L194" s="48"/>
      <c r="M194" s="48"/>
      <c r="N194" s="48"/>
      <c r="O194" s="48"/>
      <c r="P194" s="48"/>
      <c r="Q194" s="48"/>
      <c r="R194" s="48"/>
      <c r="S194" s="48"/>
      <c r="T194" s="48"/>
      <c r="U194" s="48"/>
      <c r="V194" s="48"/>
      <c r="W194" s="48"/>
      <c r="X194" s="48"/>
      <c r="Y194" s="48"/>
      <c r="Z194" s="48"/>
      <c r="AA194" s="48"/>
      <c r="AB194" s="48"/>
      <c r="AC194" s="48"/>
      <c r="AD194" s="48"/>
      <c r="AE194" s="48"/>
      <c r="AF194" s="48"/>
      <c r="AG194" s="48"/>
      <c r="AH194" s="48"/>
      <c r="AI194" s="48"/>
      <c r="AJ194" s="48"/>
      <c r="AK194" s="48"/>
      <c r="AL194" s="48"/>
      <c r="AM194" s="48"/>
      <c r="AN194" s="48"/>
      <c r="AO194" s="48"/>
      <c r="AP194" s="48"/>
      <c r="AQ194" s="48"/>
      <c r="AR194" s="48"/>
      <c r="AS194" s="48"/>
      <c r="AT194" s="48"/>
      <c r="AU194" s="48"/>
      <c r="AV194" s="48"/>
      <c r="AW194" s="48"/>
      <c r="AX194" s="48"/>
      <c r="AY194" s="48"/>
      <c r="AZ194" s="48"/>
      <c r="BA194" s="48"/>
      <c r="BB194" s="48"/>
      <c r="BC194" s="48"/>
      <c r="BD194" s="48"/>
    </row>
    <row r="195" spans="1:56" x14ac:dyDescent="0.25">
      <c r="A195" s="48"/>
      <c r="B195" s="48"/>
      <c r="C195" s="48"/>
      <c r="D195" s="48"/>
      <c r="E195" s="48"/>
      <c r="F195" s="48"/>
      <c r="G195" s="48"/>
      <c r="H195" s="48"/>
      <c r="I195" s="48"/>
      <c r="J195" s="48"/>
      <c r="K195" s="48"/>
      <c r="L195" s="48"/>
      <c r="M195" s="48"/>
      <c r="N195" s="48"/>
      <c r="O195" s="48"/>
      <c r="P195" s="48"/>
      <c r="Q195" s="48"/>
      <c r="R195" s="48"/>
      <c r="S195" s="48"/>
      <c r="T195" s="48"/>
      <c r="U195" s="48"/>
      <c r="V195" s="48"/>
      <c r="W195" s="48"/>
      <c r="X195" s="48"/>
      <c r="Y195" s="48"/>
      <c r="Z195" s="48"/>
      <c r="AA195" s="48"/>
      <c r="AB195" s="48"/>
      <c r="AC195" s="48"/>
      <c r="AD195" s="48"/>
      <c r="AE195" s="48"/>
      <c r="AF195" s="48"/>
      <c r="AG195" s="48"/>
      <c r="AH195" s="48"/>
      <c r="AI195" s="48"/>
      <c r="AJ195" s="48"/>
      <c r="AK195" s="48"/>
      <c r="AL195" s="48"/>
      <c r="AM195" s="48"/>
      <c r="AN195" s="48"/>
      <c r="AO195" s="48"/>
      <c r="AP195" s="48"/>
      <c r="AQ195" s="48"/>
      <c r="AR195" s="48"/>
      <c r="AS195" s="48"/>
      <c r="AT195" s="48"/>
      <c r="AU195" s="48"/>
      <c r="AV195" s="48"/>
      <c r="AW195" s="48"/>
      <c r="AX195" s="48"/>
      <c r="AY195" s="48"/>
      <c r="AZ195" s="48"/>
      <c r="BA195" s="48"/>
      <c r="BB195" s="48"/>
      <c r="BC195" s="48"/>
      <c r="BD195" s="48"/>
    </row>
    <row r="196" spans="1:56" x14ac:dyDescent="0.25">
      <c r="A196" s="48"/>
      <c r="B196" s="48"/>
      <c r="C196" s="48"/>
      <c r="D196" s="48"/>
      <c r="E196" s="48"/>
      <c r="F196" s="48"/>
      <c r="G196" s="48"/>
      <c r="H196" s="48"/>
      <c r="I196" s="48"/>
      <c r="J196" s="48"/>
      <c r="K196" s="48"/>
      <c r="L196" s="48"/>
      <c r="M196" s="48"/>
      <c r="N196" s="48"/>
      <c r="O196" s="48"/>
      <c r="P196" s="48"/>
      <c r="Q196" s="48"/>
      <c r="R196" s="48"/>
      <c r="S196" s="48"/>
      <c r="T196" s="48"/>
      <c r="U196" s="48"/>
      <c r="V196" s="48"/>
      <c r="W196" s="48"/>
      <c r="X196" s="48"/>
      <c r="Y196" s="48"/>
      <c r="Z196" s="48"/>
      <c r="AA196" s="48"/>
      <c r="AB196" s="48"/>
      <c r="AC196" s="48"/>
      <c r="AD196" s="48"/>
      <c r="AE196" s="48"/>
      <c r="AF196" s="48"/>
      <c r="AG196" s="48"/>
      <c r="AH196" s="48"/>
      <c r="AI196" s="48"/>
      <c r="AJ196" s="48"/>
      <c r="AK196" s="48"/>
      <c r="AL196" s="48"/>
      <c r="AM196" s="48"/>
      <c r="AN196" s="48"/>
      <c r="AO196" s="48"/>
      <c r="AP196" s="48"/>
      <c r="AQ196" s="48"/>
      <c r="AR196" s="48"/>
      <c r="AS196" s="48"/>
      <c r="AT196" s="48"/>
      <c r="AU196" s="48"/>
      <c r="AV196" s="48"/>
      <c r="AW196" s="48"/>
      <c r="AX196" s="48"/>
      <c r="AY196" s="48"/>
      <c r="AZ196" s="48"/>
      <c r="BA196" s="48"/>
      <c r="BB196" s="48"/>
      <c r="BC196" s="48"/>
      <c r="BD196" s="48"/>
    </row>
    <row r="197" spans="1:56" x14ac:dyDescent="0.25">
      <c r="A197" s="48"/>
      <c r="B197" s="48"/>
      <c r="C197" s="48"/>
      <c r="D197" s="48"/>
      <c r="E197" s="48"/>
      <c r="F197" s="48"/>
      <c r="G197" s="48"/>
      <c r="H197" s="48"/>
      <c r="I197" s="48"/>
      <c r="J197" s="48"/>
      <c r="K197" s="48"/>
      <c r="L197" s="48"/>
      <c r="M197" s="48"/>
      <c r="N197" s="48"/>
      <c r="O197" s="48"/>
      <c r="P197" s="48"/>
      <c r="Q197" s="48"/>
      <c r="R197" s="48"/>
      <c r="S197" s="48"/>
      <c r="T197" s="48"/>
      <c r="U197" s="48"/>
      <c r="V197" s="48"/>
      <c r="W197" s="48"/>
      <c r="X197" s="48"/>
      <c r="Y197" s="48"/>
      <c r="Z197" s="48"/>
      <c r="AA197" s="48"/>
      <c r="AB197" s="48"/>
      <c r="AC197" s="48"/>
      <c r="AD197" s="48"/>
      <c r="AE197" s="48"/>
      <c r="AF197" s="48"/>
      <c r="AG197" s="48"/>
      <c r="AH197" s="48"/>
      <c r="AI197" s="48"/>
      <c r="AJ197" s="48"/>
      <c r="AK197" s="48"/>
      <c r="AL197" s="48"/>
      <c r="AM197" s="48"/>
      <c r="AN197" s="48"/>
      <c r="AO197" s="48"/>
      <c r="AP197" s="48"/>
      <c r="AQ197" s="48"/>
      <c r="AR197" s="48"/>
      <c r="AS197" s="48"/>
      <c r="AT197" s="48"/>
      <c r="AU197" s="48"/>
      <c r="AV197" s="48"/>
      <c r="AW197" s="48"/>
      <c r="AX197" s="48"/>
      <c r="AY197" s="48"/>
      <c r="AZ197" s="48"/>
      <c r="BA197" s="48"/>
      <c r="BB197" s="48"/>
      <c r="BC197" s="48"/>
      <c r="BD197" s="48"/>
    </row>
    <row r="198" spans="1:56" x14ac:dyDescent="0.25">
      <c r="A198" s="48"/>
      <c r="B198" s="48"/>
      <c r="C198" s="48"/>
      <c r="D198" s="48"/>
      <c r="E198" s="48"/>
      <c r="F198" s="48"/>
      <c r="G198" s="48"/>
      <c r="H198" s="48"/>
      <c r="I198" s="48"/>
      <c r="J198" s="48"/>
      <c r="K198" s="48"/>
      <c r="L198" s="48"/>
      <c r="M198" s="48"/>
      <c r="N198" s="48"/>
      <c r="O198" s="48"/>
      <c r="P198" s="48"/>
      <c r="Q198" s="48"/>
      <c r="R198" s="48"/>
      <c r="S198" s="48"/>
      <c r="T198" s="48"/>
      <c r="U198" s="48"/>
      <c r="V198" s="48"/>
      <c r="W198" s="48"/>
      <c r="X198" s="48"/>
      <c r="Y198" s="48"/>
      <c r="Z198" s="48"/>
      <c r="AA198" s="48"/>
      <c r="AB198" s="48"/>
      <c r="AC198" s="48"/>
      <c r="AD198" s="48"/>
      <c r="AE198" s="48"/>
      <c r="AF198" s="48"/>
      <c r="AG198" s="48"/>
      <c r="AH198" s="48"/>
      <c r="AI198" s="48"/>
      <c r="AJ198" s="48"/>
      <c r="AK198" s="48"/>
      <c r="AL198" s="48"/>
      <c r="AM198" s="48"/>
      <c r="AN198" s="48"/>
      <c r="AO198" s="48"/>
      <c r="AP198" s="48"/>
      <c r="AQ198" s="48"/>
      <c r="AR198" s="48"/>
      <c r="AS198" s="48"/>
      <c r="AT198" s="48"/>
      <c r="AU198" s="48"/>
      <c r="AV198" s="48"/>
      <c r="AW198" s="48"/>
      <c r="AX198" s="48"/>
      <c r="AY198" s="48"/>
      <c r="AZ198" s="48"/>
      <c r="BA198" s="48"/>
      <c r="BB198" s="48"/>
      <c r="BC198" s="48"/>
      <c r="BD198" s="48"/>
    </row>
    <row r="199" spans="1:56" x14ac:dyDescent="0.25">
      <c r="A199" s="48"/>
      <c r="B199" s="48"/>
      <c r="C199" s="48"/>
      <c r="D199" s="48"/>
      <c r="E199" s="48"/>
      <c r="F199" s="48"/>
      <c r="G199" s="48"/>
      <c r="H199" s="48"/>
      <c r="I199" s="48"/>
      <c r="J199" s="48"/>
      <c r="K199" s="48"/>
      <c r="L199" s="48"/>
      <c r="M199" s="48"/>
      <c r="N199" s="48"/>
      <c r="O199" s="48"/>
      <c r="P199" s="48"/>
      <c r="Q199" s="48"/>
      <c r="R199" s="48"/>
      <c r="S199" s="48"/>
      <c r="T199" s="48"/>
      <c r="U199" s="48"/>
      <c r="V199" s="48"/>
      <c r="W199" s="48"/>
      <c r="X199" s="48"/>
      <c r="Y199" s="48"/>
      <c r="Z199" s="48"/>
      <c r="AA199" s="48"/>
      <c r="AB199" s="48"/>
      <c r="AC199" s="48"/>
      <c r="AD199" s="48"/>
      <c r="AE199" s="48"/>
      <c r="AF199" s="48"/>
      <c r="AG199" s="48"/>
      <c r="AH199" s="48"/>
      <c r="AI199" s="48"/>
      <c r="AJ199" s="48"/>
      <c r="AK199" s="48"/>
      <c r="AL199" s="48"/>
      <c r="AM199" s="48"/>
      <c r="AN199" s="48"/>
      <c r="AO199" s="48"/>
      <c r="AP199" s="48"/>
      <c r="AQ199" s="48"/>
      <c r="AR199" s="48"/>
      <c r="AS199" s="48"/>
      <c r="AT199" s="48"/>
      <c r="AU199" s="48"/>
      <c r="AV199" s="48"/>
      <c r="AW199" s="48"/>
      <c r="AX199" s="48"/>
      <c r="AY199" s="48"/>
      <c r="AZ199" s="48"/>
      <c r="BA199" s="48"/>
      <c r="BB199" s="48"/>
      <c r="BC199" s="48"/>
      <c r="BD199" s="48"/>
    </row>
    <row r="200" spans="1:56" x14ac:dyDescent="0.25">
      <c r="A200" s="48"/>
      <c r="B200" s="48"/>
      <c r="C200" s="48"/>
      <c r="D200" s="48"/>
      <c r="E200" s="48"/>
      <c r="F200" s="48"/>
      <c r="G200" s="48"/>
      <c r="H200" s="48"/>
      <c r="I200" s="48"/>
      <c r="J200" s="48"/>
      <c r="K200" s="48"/>
      <c r="L200" s="48"/>
      <c r="M200" s="48"/>
      <c r="N200" s="48"/>
      <c r="O200" s="48"/>
      <c r="P200" s="48"/>
      <c r="Q200" s="48"/>
      <c r="R200" s="48"/>
      <c r="S200" s="48"/>
      <c r="T200" s="48"/>
      <c r="U200" s="48"/>
      <c r="V200" s="48"/>
      <c r="W200" s="48"/>
      <c r="X200" s="48"/>
      <c r="Y200" s="48"/>
      <c r="Z200" s="48"/>
      <c r="AA200" s="48"/>
      <c r="AB200" s="48"/>
      <c r="AC200" s="48"/>
      <c r="AD200" s="48"/>
      <c r="AE200" s="48"/>
      <c r="AF200" s="48"/>
      <c r="AG200" s="48"/>
      <c r="AH200" s="48"/>
      <c r="AI200" s="48"/>
      <c r="AJ200" s="48"/>
      <c r="AK200" s="48"/>
      <c r="AL200" s="48"/>
      <c r="AM200" s="48"/>
      <c r="AN200" s="48"/>
      <c r="AO200" s="48"/>
      <c r="AP200" s="48"/>
      <c r="AQ200" s="48"/>
      <c r="AR200" s="48"/>
      <c r="AS200" s="48"/>
      <c r="AT200" s="48"/>
      <c r="AU200" s="48"/>
      <c r="AV200" s="48"/>
      <c r="AW200" s="48"/>
      <c r="AX200" s="48"/>
      <c r="AY200" s="48"/>
      <c r="AZ200" s="48"/>
      <c r="BA200" s="48"/>
      <c r="BB200" s="48"/>
      <c r="BC200" s="48"/>
      <c r="BD200" s="48"/>
    </row>
    <row r="201" spans="1:56" x14ac:dyDescent="0.25">
      <c r="A201" s="48"/>
      <c r="B201" s="48"/>
      <c r="C201" s="48"/>
      <c r="D201" s="48"/>
      <c r="E201" s="48"/>
      <c r="F201" s="48"/>
      <c r="G201" s="48"/>
      <c r="H201" s="48"/>
      <c r="I201" s="48"/>
      <c r="J201" s="48"/>
      <c r="K201" s="48"/>
      <c r="L201" s="48"/>
      <c r="M201" s="48"/>
      <c r="N201" s="48"/>
      <c r="O201" s="48"/>
      <c r="P201" s="48"/>
      <c r="Q201" s="48"/>
      <c r="R201" s="48"/>
      <c r="S201" s="48"/>
      <c r="T201" s="48"/>
      <c r="U201" s="48"/>
      <c r="V201" s="48"/>
      <c r="W201" s="48"/>
      <c r="X201" s="48"/>
      <c r="Y201" s="48"/>
      <c r="Z201" s="48"/>
      <c r="AA201" s="48"/>
      <c r="AB201" s="48"/>
      <c r="AC201" s="48"/>
      <c r="AD201" s="48"/>
      <c r="AE201" s="48"/>
      <c r="AF201" s="48"/>
      <c r="AG201" s="48"/>
      <c r="AH201" s="48"/>
      <c r="AI201" s="48"/>
      <c r="AJ201" s="48"/>
      <c r="AK201" s="48"/>
      <c r="AL201" s="48"/>
      <c r="AM201" s="48"/>
      <c r="AN201" s="48"/>
      <c r="AO201" s="48"/>
      <c r="AP201" s="48"/>
      <c r="AQ201" s="48"/>
      <c r="AR201" s="48"/>
      <c r="AS201" s="48"/>
      <c r="AT201" s="48"/>
      <c r="AU201" s="48"/>
      <c r="AV201" s="48"/>
      <c r="AW201" s="48"/>
      <c r="AX201" s="48"/>
      <c r="AY201" s="48"/>
      <c r="AZ201" s="48"/>
      <c r="BA201" s="48"/>
      <c r="BB201" s="48"/>
      <c r="BC201" s="48"/>
      <c r="BD201" s="48"/>
    </row>
    <row r="202" spans="1:56" x14ac:dyDescent="0.25">
      <c r="A202" s="48"/>
      <c r="B202" s="48"/>
      <c r="C202" s="48"/>
      <c r="D202" s="48"/>
      <c r="E202" s="48"/>
      <c r="F202" s="48"/>
      <c r="G202" s="48"/>
      <c r="H202" s="48"/>
      <c r="I202" s="48"/>
      <c r="J202" s="48"/>
      <c r="K202" s="48"/>
      <c r="L202" s="48"/>
      <c r="M202" s="48"/>
      <c r="N202" s="48"/>
      <c r="O202" s="48"/>
      <c r="P202" s="48"/>
      <c r="Q202" s="48"/>
      <c r="R202" s="48"/>
      <c r="S202" s="48"/>
      <c r="T202" s="48"/>
      <c r="U202" s="48"/>
      <c r="V202" s="48"/>
      <c r="W202" s="48"/>
      <c r="X202" s="48"/>
      <c r="Y202" s="48"/>
      <c r="Z202" s="48"/>
      <c r="AA202" s="48"/>
      <c r="AB202" s="48"/>
      <c r="AC202" s="48"/>
      <c r="AD202" s="48"/>
      <c r="AE202" s="48"/>
      <c r="AF202" s="48"/>
      <c r="AG202" s="48"/>
      <c r="AH202" s="48"/>
      <c r="AI202" s="48"/>
      <c r="AJ202" s="48"/>
      <c r="AK202" s="48"/>
      <c r="AL202" s="48"/>
      <c r="AM202" s="48"/>
      <c r="AN202" s="48"/>
      <c r="AO202" s="48"/>
      <c r="AP202" s="48"/>
      <c r="AQ202" s="48"/>
      <c r="AR202" s="48"/>
      <c r="AS202" s="48"/>
      <c r="AT202" s="48"/>
      <c r="AU202" s="48"/>
      <c r="AV202" s="48"/>
      <c r="AW202" s="48"/>
      <c r="AX202" s="48"/>
      <c r="AY202" s="48"/>
      <c r="AZ202" s="48"/>
      <c r="BA202" s="48"/>
      <c r="BB202" s="48"/>
      <c r="BC202" s="48"/>
      <c r="BD202" s="48"/>
    </row>
    <row r="203" spans="1:56" x14ac:dyDescent="0.25">
      <c r="A203" s="48"/>
      <c r="B203" s="48"/>
      <c r="C203" s="48"/>
      <c r="D203" s="48"/>
      <c r="E203" s="48"/>
      <c r="F203" s="48"/>
      <c r="G203" s="48"/>
      <c r="H203" s="48"/>
      <c r="I203" s="48"/>
      <c r="J203" s="48"/>
      <c r="K203" s="48"/>
      <c r="L203" s="48"/>
      <c r="M203" s="48"/>
      <c r="N203" s="48"/>
      <c r="O203" s="48"/>
      <c r="P203" s="48"/>
      <c r="Q203" s="48"/>
      <c r="R203" s="48"/>
      <c r="S203" s="48"/>
      <c r="T203" s="48"/>
      <c r="U203" s="48"/>
      <c r="V203" s="48"/>
      <c r="W203" s="48"/>
      <c r="X203" s="48"/>
      <c r="Y203" s="48"/>
      <c r="Z203" s="48"/>
      <c r="AA203" s="48"/>
      <c r="AB203" s="48"/>
      <c r="AC203" s="48"/>
      <c r="AD203" s="48"/>
      <c r="AE203" s="48"/>
      <c r="AF203" s="48"/>
      <c r="AG203" s="48"/>
      <c r="AH203" s="48"/>
      <c r="AI203" s="48"/>
      <c r="AJ203" s="48"/>
      <c r="AK203" s="48"/>
      <c r="AL203" s="48"/>
      <c r="AM203" s="48"/>
      <c r="AN203" s="48"/>
      <c r="AO203" s="48"/>
      <c r="AP203" s="48"/>
      <c r="AQ203" s="48"/>
      <c r="AR203" s="48"/>
      <c r="AS203" s="48"/>
      <c r="AT203" s="48"/>
      <c r="AU203" s="48"/>
      <c r="AV203" s="48"/>
      <c r="AW203" s="48"/>
      <c r="AX203" s="48"/>
      <c r="AY203" s="48"/>
      <c r="AZ203" s="48"/>
      <c r="BA203" s="48"/>
      <c r="BB203" s="48"/>
      <c r="BC203" s="48"/>
      <c r="BD203" s="48"/>
    </row>
    <row r="204" spans="1:56" x14ac:dyDescent="0.25">
      <c r="A204" s="48"/>
      <c r="B204" s="48"/>
      <c r="C204" s="48"/>
      <c r="D204" s="48"/>
      <c r="E204" s="48"/>
      <c r="F204" s="48"/>
      <c r="G204" s="48"/>
      <c r="H204" s="48"/>
      <c r="I204" s="48"/>
      <c r="J204" s="48"/>
      <c r="K204" s="48"/>
      <c r="L204" s="48"/>
      <c r="M204" s="48"/>
      <c r="N204" s="48"/>
      <c r="O204" s="48"/>
      <c r="P204" s="48"/>
      <c r="Q204" s="48"/>
      <c r="R204" s="48"/>
      <c r="S204" s="48"/>
      <c r="T204" s="48"/>
      <c r="U204" s="48"/>
      <c r="V204" s="48"/>
      <c r="W204" s="48"/>
      <c r="X204" s="48"/>
      <c r="Y204" s="48"/>
      <c r="Z204" s="48"/>
      <c r="AA204" s="48"/>
      <c r="AB204" s="48"/>
      <c r="AC204" s="48"/>
      <c r="AD204" s="48"/>
      <c r="AE204" s="48"/>
      <c r="AF204" s="48"/>
      <c r="AG204" s="48"/>
      <c r="AH204" s="48"/>
      <c r="AI204" s="48"/>
      <c r="AJ204" s="48"/>
      <c r="AK204" s="48"/>
      <c r="AL204" s="48"/>
      <c r="AM204" s="48"/>
      <c r="AN204" s="48"/>
      <c r="AO204" s="48"/>
      <c r="AP204" s="48"/>
      <c r="AQ204" s="48"/>
      <c r="AR204" s="48"/>
      <c r="AS204" s="48"/>
      <c r="AT204" s="48"/>
      <c r="AU204" s="48"/>
      <c r="AV204" s="48"/>
      <c r="AW204" s="48"/>
      <c r="AX204" s="48"/>
      <c r="AY204" s="48"/>
      <c r="AZ204" s="48"/>
      <c r="BA204" s="48"/>
      <c r="BB204" s="48"/>
      <c r="BC204" s="48"/>
      <c r="BD204" s="48"/>
    </row>
    <row r="205" spans="1:56" x14ac:dyDescent="0.25">
      <c r="A205" s="48"/>
      <c r="B205" s="48"/>
      <c r="C205" s="48"/>
      <c r="D205" s="48"/>
      <c r="E205" s="48"/>
      <c r="F205" s="48"/>
      <c r="G205" s="48"/>
      <c r="H205" s="48"/>
      <c r="I205" s="48"/>
      <c r="J205" s="48"/>
      <c r="K205" s="48"/>
      <c r="L205" s="48"/>
      <c r="M205" s="48"/>
      <c r="N205" s="48"/>
      <c r="O205" s="48"/>
      <c r="P205" s="48"/>
      <c r="Q205" s="48"/>
      <c r="R205" s="48"/>
      <c r="S205" s="48"/>
      <c r="T205" s="48"/>
      <c r="U205" s="48"/>
      <c r="V205" s="48"/>
      <c r="W205" s="48"/>
      <c r="X205" s="48"/>
      <c r="Y205" s="48"/>
      <c r="Z205" s="48"/>
      <c r="AA205" s="48"/>
      <c r="AB205" s="48"/>
      <c r="AC205" s="48"/>
      <c r="AD205" s="48"/>
      <c r="AE205" s="48"/>
      <c r="AF205" s="48"/>
      <c r="AG205" s="48"/>
      <c r="AH205" s="48"/>
      <c r="AI205" s="48"/>
      <c r="AJ205" s="48"/>
      <c r="AK205" s="48"/>
      <c r="AL205" s="48"/>
      <c r="AM205" s="48"/>
      <c r="AN205" s="48"/>
      <c r="AO205" s="48"/>
      <c r="AP205" s="48"/>
      <c r="AQ205" s="48"/>
      <c r="AR205" s="48"/>
      <c r="AS205" s="48"/>
      <c r="AT205" s="48"/>
      <c r="AU205" s="48"/>
      <c r="AV205" s="48"/>
      <c r="AW205" s="48"/>
      <c r="AX205" s="48"/>
      <c r="AY205" s="48"/>
      <c r="AZ205" s="48"/>
      <c r="BA205" s="48"/>
      <c r="BB205" s="48"/>
      <c r="BC205" s="48"/>
      <c r="BD205" s="48"/>
    </row>
    <row r="206" spans="1:56" x14ac:dyDescent="0.25">
      <c r="A206" s="48"/>
      <c r="B206" s="48"/>
      <c r="C206" s="48"/>
      <c r="D206" s="48"/>
      <c r="E206" s="48"/>
      <c r="F206" s="48"/>
      <c r="G206" s="48"/>
      <c r="H206" s="48"/>
      <c r="I206" s="48"/>
      <c r="J206" s="48"/>
      <c r="K206" s="48"/>
      <c r="L206" s="48"/>
      <c r="M206" s="48"/>
      <c r="N206" s="48"/>
      <c r="O206" s="48"/>
      <c r="P206" s="48"/>
      <c r="Q206" s="48"/>
      <c r="R206" s="48"/>
      <c r="S206" s="48"/>
      <c r="T206" s="48"/>
      <c r="U206" s="48"/>
      <c r="V206" s="48"/>
      <c r="W206" s="48"/>
      <c r="X206" s="48"/>
      <c r="Y206" s="48"/>
      <c r="Z206" s="48"/>
      <c r="AA206" s="48"/>
      <c r="AB206" s="48"/>
      <c r="AC206" s="48"/>
      <c r="AD206" s="48"/>
      <c r="AE206" s="48"/>
      <c r="AF206" s="48"/>
      <c r="AG206" s="48"/>
      <c r="AH206" s="48"/>
      <c r="AI206" s="48"/>
      <c r="AJ206" s="48"/>
      <c r="AK206" s="48"/>
      <c r="AL206" s="48"/>
      <c r="AM206" s="48"/>
      <c r="AN206" s="48"/>
      <c r="AO206" s="48"/>
      <c r="AP206" s="48"/>
      <c r="AQ206" s="48"/>
      <c r="AR206" s="48"/>
      <c r="AS206" s="48"/>
      <c r="AT206" s="48"/>
      <c r="AU206" s="48"/>
      <c r="AV206" s="48"/>
      <c r="AW206" s="48"/>
      <c r="AX206" s="48"/>
      <c r="AY206" s="48"/>
      <c r="AZ206" s="48"/>
      <c r="BA206" s="48"/>
      <c r="BB206" s="48"/>
      <c r="BC206" s="48"/>
      <c r="BD206" s="48"/>
    </row>
    <row r="207" spans="1:56" x14ac:dyDescent="0.25">
      <c r="A207" s="48"/>
      <c r="B207" s="48"/>
      <c r="C207" s="48"/>
      <c r="D207" s="48"/>
      <c r="E207" s="48"/>
      <c r="F207" s="48"/>
      <c r="G207" s="48"/>
      <c r="H207" s="48"/>
      <c r="I207" s="48"/>
      <c r="J207" s="48"/>
      <c r="K207" s="48"/>
      <c r="L207" s="48"/>
      <c r="M207" s="48"/>
      <c r="N207" s="48"/>
      <c r="O207" s="48"/>
      <c r="P207" s="48"/>
      <c r="Q207" s="48"/>
      <c r="R207" s="48"/>
      <c r="S207" s="48"/>
      <c r="T207" s="48"/>
      <c r="U207" s="48"/>
      <c r="V207" s="48"/>
      <c r="W207" s="48"/>
      <c r="X207" s="48"/>
      <c r="Y207" s="48"/>
      <c r="Z207" s="48"/>
      <c r="AA207" s="48"/>
      <c r="AB207" s="48"/>
      <c r="AC207" s="48"/>
      <c r="AD207" s="48"/>
      <c r="AE207" s="48"/>
      <c r="AF207" s="48"/>
      <c r="AG207" s="48"/>
      <c r="AH207" s="48"/>
      <c r="AI207" s="48"/>
      <c r="AJ207" s="48"/>
      <c r="AK207" s="48"/>
      <c r="AL207" s="48"/>
      <c r="AM207" s="48"/>
      <c r="AN207" s="48"/>
      <c r="AO207" s="48"/>
      <c r="AP207" s="48"/>
      <c r="AQ207" s="48"/>
      <c r="AR207" s="48"/>
      <c r="AS207" s="48"/>
      <c r="AT207" s="48"/>
      <c r="AU207" s="48"/>
      <c r="AV207" s="48"/>
      <c r="AW207" s="48"/>
      <c r="AX207" s="48"/>
      <c r="AY207" s="48"/>
      <c r="AZ207" s="48"/>
      <c r="BA207" s="48"/>
      <c r="BB207" s="48"/>
      <c r="BC207" s="48"/>
      <c r="BD207" s="48"/>
    </row>
    <row r="208" spans="1:56" x14ac:dyDescent="0.25">
      <c r="A208" s="48"/>
      <c r="B208" s="48"/>
      <c r="C208" s="48"/>
      <c r="D208" s="48"/>
      <c r="E208" s="48"/>
      <c r="F208" s="48"/>
      <c r="G208" s="48"/>
      <c r="H208" s="48"/>
      <c r="I208" s="48"/>
      <c r="J208" s="48"/>
      <c r="K208" s="48"/>
      <c r="L208" s="48"/>
      <c r="M208" s="48"/>
      <c r="N208" s="48"/>
      <c r="O208" s="48"/>
      <c r="P208" s="48"/>
      <c r="Q208" s="48"/>
      <c r="R208" s="48"/>
      <c r="S208" s="48"/>
      <c r="T208" s="48"/>
      <c r="U208" s="48"/>
      <c r="V208" s="48"/>
      <c r="W208" s="48"/>
      <c r="X208" s="48"/>
      <c r="Y208" s="48"/>
      <c r="Z208" s="48"/>
      <c r="AA208" s="48"/>
      <c r="AB208" s="48"/>
      <c r="AC208" s="48"/>
      <c r="AD208" s="48"/>
      <c r="AE208" s="48"/>
      <c r="AF208" s="48"/>
      <c r="AG208" s="48"/>
      <c r="AH208" s="48"/>
      <c r="AI208" s="48"/>
      <c r="AJ208" s="48"/>
      <c r="AK208" s="48"/>
      <c r="AL208" s="48"/>
      <c r="AM208" s="48"/>
      <c r="AN208" s="48"/>
      <c r="AO208" s="48"/>
      <c r="AP208" s="48"/>
      <c r="AQ208" s="48"/>
      <c r="AR208" s="48"/>
      <c r="AS208" s="48"/>
      <c r="AT208" s="48"/>
      <c r="AU208" s="48"/>
      <c r="AV208" s="48"/>
      <c r="AW208" s="48"/>
      <c r="AX208" s="48"/>
      <c r="AY208" s="48"/>
      <c r="AZ208" s="48"/>
      <c r="BA208" s="48"/>
      <c r="BB208" s="48"/>
      <c r="BC208" s="48"/>
      <c r="BD208" s="48"/>
    </row>
    <row r="209" spans="1:56" x14ac:dyDescent="0.25">
      <c r="A209" s="48"/>
      <c r="B209" s="48"/>
      <c r="C209" s="48"/>
      <c r="D209" s="48"/>
      <c r="E209" s="48"/>
      <c r="F209" s="48"/>
      <c r="G209" s="48"/>
      <c r="H209" s="48"/>
      <c r="I209" s="48"/>
      <c r="J209" s="48"/>
      <c r="K209" s="48"/>
      <c r="L209" s="48"/>
      <c r="M209" s="48"/>
      <c r="N209" s="48"/>
      <c r="O209" s="48"/>
      <c r="P209" s="48"/>
      <c r="Q209" s="48"/>
      <c r="R209" s="48"/>
      <c r="S209" s="48"/>
      <c r="T209" s="48"/>
      <c r="U209" s="48"/>
      <c r="V209" s="48"/>
      <c r="W209" s="48"/>
      <c r="X209" s="48"/>
      <c r="Y209" s="48"/>
      <c r="Z209" s="48"/>
      <c r="AA209" s="48"/>
      <c r="AB209" s="48"/>
      <c r="AC209" s="48"/>
      <c r="AD209" s="48"/>
      <c r="AE209" s="48"/>
      <c r="AF209" s="48"/>
      <c r="AG209" s="48"/>
      <c r="AH209" s="48"/>
      <c r="AI209" s="48"/>
      <c r="AJ209" s="48"/>
      <c r="AK209" s="48"/>
      <c r="AL209" s="48"/>
      <c r="AM209" s="48"/>
      <c r="AN209" s="48"/>
      <c r="AO209" s="48"/>
      <c r="AP209" s="48"/>
      <c r="AQ209" s="48"/>
      <c r="AR209" s="48"/>
      <c r="AS209" s="48"/>
      <c r="AT209" s="48"/>
      <c r="AU209" s="48"/>
      <c r="AV209" s="48"/>
      <c r="AW209" s="48"/>
      <c r="AX209" s="48"/>
      <c r="AY209" s="48"/>
      <c r="AZ209" s="48"/>
      <c r="BA209" s="48"/>
      <c r="BB209" s="48"/>
      <c r="BC209" s="48"/>
      <c r="BD209" s="48"/>
    </row>
    <row r="210" spans="1:56" x14ac:dyDescent="0.25">
      <c r="A210" s="48"/>
      <c r="B210" s="48"/>
      <c r="C210" s="48"/>
      <c r="D210" s="48"/>
      <c r="E210" s="48"/>
      <c r="F210" s="48"/>
      <c r="G210" s="48"/>
      <c r="H210" s="48"/>
      <c r="I210" s="48"/>
      <c r="J210" s="48"/>
      <c r="K210" s="48"/>
      <c r="L210" s="48"/>
      <c r="M210" s="48"/>
      <c r="N210" s="48"/>
      <c r="O210" s="48"/>
      <c r="P210" s="48"/>
      <c r="Q210" s="48"/>
      <c r="R210" s="48"/>
      <c r="S210" s="48"/>
      <c r="T210" s="48"/>
      <c r="U210" s="48"/>
      <c r="V210" s="48"/>
      <c r="W210" s="48"/>
      <c r="X210" s="48"/>
      <c r="Y210" s="48"/>
      <c r="Z210" s="48"/>
      <c r="AA210" s="48"/>
      <c r="AB210" s="48"/>
      <c r="AC210" s="48"/>
      <c r="AD210" s="48"/>
      <c r="AE210" s="48"/>
      <c r="AF210" s="48"/>
      <c r="AG210" s="48"/>
      <c r="AH210" s="48"/>
      <c r="AI210" s="48"/>
      <c r="AJ210" s="48"/>
      <c r="AK210" s="48"/>
      <c r="AL210" s="48"/>
      <c r="AM210" s="48"/>
      <c r="AN210" s="48"/>
      <c r="AO210" s="48"/>
      <c r="AP210" s="48"/>
      <c r="AQ210" s="48"/>
      <c r="AR210" s="48"/>
      <c r="AS210" s="48"/>
      <c r="AT210" s="48"/>
      <c r="AU210" s="48"/>
      <c r="AV210" s="48"/>
      <c r="AW210" s="48"/>
      <c r="AX210" s="48"/>
      <c r="AY210" s="48"/>
      <c r="AZ210" s="48"/>
      <c r="BA210" s="48"/>
      <c r="BB210" s="48"/>
      <c r="BC210" s="48"/>
      <c r="BD210" s="48"/>
    </row>
    <row r="211" spans="1:56" x14ac:dyDescent="0.25">
      <c r="A211" s="48"/>
      <c r="B211" s="48"/>
      <c r="C211" s="48"/>
      <c r="D211" s="48"/>
      <c r="E211" s="48"/>
      <c r="F211" s="48"/>
      <c r="G211" s="48"/>
      <c r="H211" s="48"/>
      <c r="I211" s="48"/>
      <c r="J211" s="48"/>
      <c r="K211" s="48"/>
      <c r="L211" s="48"/>
      <c r="M211" s="48"/>
      <c r="N211" s="48"/>
      <c r="O211" s="48"/>
      <c r="P211" s="48"/>
      <c r="Q211" s="48"/>
      <c r="R211" s="48"/>
      <c r="S211" s="48"/>
      <c r="T211" s="48"/>
      <c r="U211" s="48"/>
      <c r="V211" s="48"/>
      <c r="W211" s="48"/>
      <c r="X211" s="48"/>
      <c r="Y211" s="48"/>
      <c r="Z211" s="48"/>
      <c r="AA211" s="48"/>
      <c r="AB211" s="48"/>
      <c r="AC211" s="48"/>
      <c r="AD211" s="48"/>
      <c r="AE211" s="48"/>
      <c r="AF211" s="48"/>
      <c r="AG211" s="48"/>
      <c r="AH211" s="48"/>
      <c r="AI211" s="48"/>
      <c r="AJ211" s="48"/>
      <c r="AK211" s="48"/>
      <c r="AL211" s="48"/>
      <c r="AM211" s="48"/>
      <c r="AN211" s="48"/>
      <c r="AO211" s="48"/>
      <c r="AP211" s="48"/>
      <c r="AQ211" s="48"/>
      <c r="AR211" s="48"/>
      <c r="AS211" s="48"/>
      <c r="AT211" s="48"/>
      <c r="AU211" s="48"/>
      <c r="AV211" s="48"/>
      <c r="AW211" s="48"/>
      <c r="AX211" s="48"/>
      <c r="AY211" s="48"/>
      <c r="AZ211" s="48"/>
      <c r="BA211" s="48"/>
      <c r="BB211" s="48"/>
      <c r="BC211" s="48"/>
      <c r="BD211" s="48"/>
    </row>
    <row r="212" spans="1:56" x14ac:dyDescent="0.25">
      <c r="A212" s="48"/>
      <c r="B212" s="48"/>
      <c r="C212" s="48"/>
      <c r="D212" s="48"/>
      <c r="E212" s="48"/>
      <c r="F212" s="48"/>
      <c r="G212" s="48"/>
      <c r="H212" s="48"/>
      <c r="I212" s="48"/>
      <c r="J212" s="48"/>
      <c r="K212" s="48"/>
      <c r="L212" s="48"/>
      <c r="M212" s="48"/>
      <c r="N212" s="48"/>
      <c r="O212" s="48"/>
      <c r="P212" s="48"/>
      <c r="Q212" s="48"/>
      <c r="R212" s="48"/>
      <c r="S212" s="48"/>
      <c r="T212" s="48"/>
      <c r="U212" s="48"/>
      <c r="V212" s="48"/>
      <c r="W212" s="48"/>
      <c r="X212" s="48"/>
      <c r="Y212" s="48"/>
      <c r="Z212" s="48"/>
      <c r="AA212" s="48"/>
      <c r="AB212" s="48"/>
      <c r="AC212" s="48"/>
      <c r="AD212" s="48"/>
      <c r="AE212" s="48"/>
      <c r="AF212" s="48"/>
      <c r="AG212" s="48"/>
      <c r="AH212" s="48"/>
      <c r="AI212" s="48"/>
      <c r="AJ212" s="48"/>
      <c r="AK212" s="48"/>
      <c r="AL212" s="48"/>
      <c r="AM212" s="48"/>
      <c r="AN212" s="48"/>
      <c r="AO212" s="48"/>
      <c r="AP212" s="48"/>
      <c r="AQ212" s="48"/>
      <c r="AR212" s="48"/>
      <c r="AS212" s="48"/>
      <c r="AT212" s="48"/>
      <c r="AU212" s="48"/>
      <c r="AV212" s="48"/>
      <c r="AW212" s="48"/>
      <c r="AX212" s="48"/>
      <c r="AY212" s="48"/>
      <c r="AZ212" s="48"/>
      <c r="BA212" s="48"/>
      <c r="BB212" s="48"/>
      <c r="BC212" s="48"/>
      <c r="BD212" s="48"/>
    </row>
    <row r="213" spans="1:56" x14ac:dyDescent="0.25">
      <c r="A213" s="48"/>
      <c r="B213" s="48"/>
      <c r="C213" s="48"/>
      <c r="D213" s="48"/>
      <c r="E213" s="48"/>
      <c r="F213" s="48"/>
      <c r="G213" s="48"/>
      <c r="H213" s="48"/>
      <c r="I213" s="48"/>
      <c r="J213" s="48"/>
      <c r="K213" s="48"/>
      <c r="L213" s="48"/>
      <c r="M213" s="48"/>
      <c r="N213" s="48"/>
      <c r="O213" s="48"/>
      <c r="P213" s="48"/>
      <c r="Q213" s="48"/>
      <c r="R213" s="48"/>
      <c r="S213" s="48"/>
      <c r="T213" s="48"/>
      <c r="U213" s="48"/>
      <c r="V213" s="48"/>
      <c r="W213" s="48"/>
      <c r="X213" s="48"/>
      <c r="Y213" s="48"/>
      <c r="Z213" s="48"/>
      <c r="AA213" s="48"/>
      <c r="AB213" s="48"/>
      <c r="AC213" s="48"/>
      <c r="AD213" s="48"/>
      <c r="AE213" s="48"/>
      <c r="AF213" s="48"/>
      <c r="AG213" s="48"/>
      <c r="AH213" s="48"/>
      <c r="AI213" s="48"/>
      <c r="AJ213" s="48"/>
      <c r="AK213" s="48"/>
      <c r="AL213" s="48"/>
      <c r="AM213" s="48"/>
      <c r="AN213" s="48"/>
      <c r="AO213" s="48"/>
      <c r="AP213" s="48"/>
      <c r="AQ213" s="48"/>
      <c r="AR213" s="48"/>
      <c r="AS213" s="48"/>
      <c r="AT213" s="48"/>
      <c r="AU213" s="48"/>
      <c r="AV213" s="48"/>
      <c r="AW213" s="48"/>
      <c r="AX213" s="48"/>
      <c r="AY213" s="48"/>
      <c r="AZ213" s="48"/>
      <c r="BA213" s="48"/>
      <c r="BB213" s="48"/>
      <c r="BC213" s="48"/>
      <c r="BD213" s="48"/>
    </row>
    <row r="214" spans="1:56" x14ac:dyDescent="0.25">
      <c r="A214" s="48"/>
      <c r="B214" s="48"/>
      <c r="C214" s="48"/>
      <c r="D214" s="48"/>
      <c r="E214" s="48"/>
      <c r="F214" s="48"/>
      <c r="G214" s="48"/>
      <c r="H214" s="48"/>
      <c r="I214" s="48"/>
      <c r="J214" s="48"/>
      <c r="K214" s="48"/>
      <c r="L214" s="48"/>
      <c r="M214" s="48"/>
      <c r="N214" s="48"/>
      <c r="O214" s="48"/>
      <c r="P214" s="48"/>
      <c r="Q214" s="48"/>
      <c r="R214" s="48"/>
      <c r="S214" s="48"/>
      <c r="T214" s="48"/>
      <c r="U214" s="48"/>
      <c r="V214" s="48"/>
      <c r="W214" s="48"/>
      <c r="X214" s="48"/>
      <c r="Y214" s="48"/>
      <c r="Z214" s="48"/>
      <c r="AA214" s="48"/>
      <c r="AB214" s="48"/>
      <c r="AC214" s="48"/>
      <c r="AD214" s="48"/>
      <c r="AE214" s="48"/>
      <c r="AF214" s="48"/>
      <c r="AG214" s="48"/>
      <c r="AH214" s="48"/>
      <c r="AI214" s="48"/>
      <c r="AJ214" s="48"/>
      <c r="AK214" s="48"/>
      <c r="AL214" s="48"/>
      <c r="AM214" s="48"/>
      <c r="AN214" s="48"/>
      <c r="AO214" s="48"/>
      <c r="AP214" s="48"/>
      <c r="AQ214" s="48"/>
      <c r="AR214" s="48"/>
      <c r="AS214" s="48"/>
      <c r="AT214" s="48"/>
      <c r="AU214" s="48"/>
      <c r="AV214" s="48"/>
      <c r="AW214" s="48"/>
      <c r="AX214" s="48"/>
      <c r="AY214" s="48"/>
      <c r="AZ214" s="48"/>
      <c r="BA214" s="48"/>
      <c r="BB214" s="48"/>
      <c r="BC214" s="48"/>
      <c r="BD214" s="48"/>
    </row>
    <row r="215" spans="1:56" x14ac:dyDescent="0.25">
      <c r="A215" s="48"/>
      <c r="B215" s="48"/>
      <c r="C215" s="48"/>
      <c r="D215" s="48"/>
      <c r="E215" s="48"/>
      <c r="F215" s="48"/>
      <c r="G215" s="48"/>
      <c r="H215" s="48"/>
      <c r="I215" s="48"/>
      <c r="J215" s="48"/>
      <c r="K215" s="48"/>
      <c r="L215" s="48"/>
      <c r="M215" s="48"/>
      <c r="N215" s="48"/>
      <c r="O215" s="48"/>
      <c r="P215" s="48"/>
      <c r="Q215" s="48"/>
      <c r="R215" s="48"/>
      <c r="S215" s="48"/>
      <c r="T215" s="48"/>
      <c r="U215" s="48"/>
      <c r="V215" s="48"/>
      <c r="W215" s="48"/>
      <c r="X215" s="48"/>
      <c r="Y215" s="48"/>
      <c r="Z215" s="48"/>
      <c r="AA215" s="48"/>
      <c r="AB215" s="48"/>
      <c r="AC215" s="48"/>
      <c r="AD215" s="48"/>
      <c r="AE215" s="48"/>
      <c r="AF215" s="48"/>
      <c r="AG215" s="48"/>
      <c r="AH215" s="48"/>
      <c r="AI215" s="48"/>
      <c r="AJ215" s="48"/>
      <c r="AK215" s="48"/>
      <c r="AL215" s="48"/>
      <c r="AM215" s="48"/>
      <c r="AN215" s="48"/>
      <c r="AO215" s="48"/>
      <c r="AP215" s="48"/>
      <c r="AQ215" s="48"/>
      <c r="AR215" s="48"/>
      <c r="AS215" s="48"/>
      <c r="AT215" s="48"/>
      <c r="AU215" s="48"/>
      <c r="AV215" s="48"/>
      <c r="AW215" s="48"/>
      <c r="AX215" s="48"/>
      <c r="AY215" s="48"/>
      <c r="AZ215" s="48"/>
      <c r="BA215" s="48"/>
      <c r="BB215" s="48"/>
      <c r="BC215" s="48"/>
      <c r="BD215" s="48"/>
    </row>
    <row r="216" spans="1:56" x14ac:dyDescent="0.25">
      <c r="A216" s="48"/>
      <c r="B216" s="48"/>
      <c r="C216" s="48"/>
      <c r="D216" s="48"/>
      <c r="E216" s="48"/>
      <c r="F216" s="48"/>
      <c r="G216" s="48"/>
      <c r="H216" s="48"/>
      <c r="I216" s="48"/>
      <c r="J216" s="48"/>
      <c r="K216" s="48"/>
      <c r="L216" s="48"/>
      <c r="M216" s="48"/>
      <c r="N216" s="48"/>
      <c r="O216" s="48"/>
      <c r="P216" s="48"/>
      <c r="Q216" s="48"/>
      <c r="R216" s="48"/>
      <c r="S216" s="48"/>
      <c r="T216" s="48"/>
      <c r="U216" s="48"/>
      <c r="V216" s="48"/>
      <c r="W216" s="48"/>
      <c r="X216" s="48"/>
      <c r="Y216" s="48"/>
      <c r="Z216" s="48"/>
      <c r="AA216" s="48"/>
      <c r="AB216" s="48"/>
      <c r="AC216" s="48"/>
      <c r="AD216" s="48"/>
      <c r="AE216" s="48"/>
      <c r="AF216" s="48"/>
      <c r="AG216" s="48"/>
      <c r="AH216" s="48"/>
      <c r="AI216" s="48"/>
      <c r="AJ216" s="48"/>
      <c r="AK216" s="48"/>
      <c r="AL216" s="48"/>
      <c r="AM216" s="48"/>
      <c r="AN216" s="48"/>
      <c r="AO216" s="48"/>
      <c r="AP216" s="48"/>
      <c r="AQ216" s="48"/>
      <c r="AR216" s="48"/>
      <c r="AS216" s="48"/>
      <c r="AT216" s="48"/>
      <c r="AU216" s="48"/>
      <c r="AV216" s="48"/>
      <c r="AW216" s="48"/>
      <c r="AX216" s="48"/>
      <c r="AY216" s="48"/>
      <c r="AZ216" s="48"/>
      <c r="BA216" s="48"/>
      <c r="BB216" s="48"/>
      <c r="BC216" s="48"/>
      <c r="BD216" s="48"/>
    </row>
    <row r="217" spans="1:56" x14ac:dyDescent="0.25">
      <c r="A217" s="48"/>
      <c r="B217" s="48"/>
      <c r="C217" s="48"/>
      <c r="D217" s="48"/>
      <c r="E217" s="48"/>
      <c r="F217" s="48"/>
      <c r="G217" s="48"/>
      <c r="H217" s="48"/>
      <c r="I217" s="48"/>
      <c r="J217" s="48"/>
      <c r="K217" s="48"/>
      <c r="L217" s="48"/>
      <c r="M217" s="48"/>
      <c r="N217" s="48"/>
      <c r="O217" s="48"/>
      <c r="P217" s="48"/>
      <c r="Q217" s="48"/>
      <c r="R217" s="48"/>
      <c r="S217" s="48"/>
      <c r="T217" s="48"/>
      <c r="U217" s="48"/>
      <c r="V217" s="48"/>
      <c r="W217" s="48"/>
      <c r="X217" s="48"/>
      <c r="Y217" s="48"/>
      <c r="Z217" s="48"/>
      <c r="AA217" s="48"/>
      <c r="AB217" s="48"/>
      <c r="AC217" s="48"/>
      <c r="AD217" s="48"/>
      <c r="AE217" s="48"/>
      <c r="AF217" s="48"/>
      <c r="AG217" s="48"/>
      <c r="AH217" s="48"/>
      <c r="AI217" s="48"/>
      <c r="AJ217" s="48"/>
      <c r="AK217" s="48"/>
      <c r="AL217" s="48"/>
      <c r="AM217" s="48"/>
      <c r="AN217" s="48"/>
      <c r="AO217" s="48"/>
      <c r="AP217" s="48"/>
      <c r="AQ217" s="48"/>
      <c r="AR217" s="48"/>
      <c r="AS217" s="48"/>
      <c r="AT217" s="48"/>
      <c r="AU217" s="48"/>
      <c r="AV217" s="48"/>
      <c r="AW217" s="48"/>
      <c r="AX217" s="48"/>
      <c r="AY217" s="48"/>
      <c r="AZ217" s="48"/>
      <c r="BA217" s="48"/>
      <c r="BB217" s="48"/>
      <c r="BC217" s="48"/>
      <c r="BD217" s="48"/>
    </row>
    <row r="218" spans="1:56" x14ac:dyDescent="0.25">
      <c r="A218" s="48"/>
      <c r="B218" s="48"/>
      <c r="C218" s="48"/>
      <c r="D218" s="48"/>
      <c r="E218" s="48"/>
      <c r="F218" s="48"/>
      <c r="G218" s="48"/>
      <c r="H218" s="48"/>
      <c r="I218" s="48"/>
      <c r="J218" s="48"/>
      <c r="K218" s="48"/>
      <c r="L218" s="48"/>
      <c r="M218" s="48"/>
      <c r="N218" s="48"/>
      <c r="O218" s="48"/>
      <c r="P218" s="48"/>
      <c r="Q218" s="48"/>
      <c r="R218" s="48"/>
      <c r="S218" s="48"/>
      <c r="T218" s="48"/>
      <c r="U218" s="48"/>
      <c r="V218" s="48"/>
      <c r="W218" s="48"/>
      <c r="X218" s="48"/>
      <c r="Y218" s="48"/>
      <c r="Z218" s="48"/>
      <c r="AA218" s="48"/>
      <c r="AB218" s="48"/>
      <c r="AC218" s="48"/>
      <c r="AD218" s="48"/>
      <c r="AE218" s="48"/>
      <c r="AF218" s="48"/>
      <c r="AG218" s="48"/>
      <c r="AH218" s="48"/>
      <c r="AI218" s="48"/>
      <c r="AJ218" s="48"/>
      <c r="AK218" s="48"/>
      <c r="AL218" s="48"/>
      <c r="AM218" s="48"/>
      <c r="AN218" s="48"/>
      <c r="AO218" s="48"/>
      <c r="AP218" s="48"/>
      <c r="AQ218" s="48"/>
      <c r="AR218" s="48"/>
      <c r="AS218" s="48"/>
      <c r="AT218" s="48"/>
      <c r="AU218" s="48"/>
      <c r="AV218" s="48"/>
      <c r="AW218" s="48"/>
      <c r="AX218" s="48"/>
      <c r="AY218" s="48"/>
      <c r="AZ218" s="48"/>
      <c r="BA218" s="48"/>
      <c r="BB218" s="48"/>
      <c r="BC218" s="48"/>
      <c r="BD218" s="48"/>
    </row>
    <row r="219" spans="1:56" x14ac:dyDescent="0.25">
      <c r="A219" s="48"/>
      <c r="B219" s="48"/>
      <c r="C219" s="48"/>
      <c r="D219" s="48"/>
      <c r="E219" s="48"/>
      <c r="F219" s="48"/>
      <c r="G219" s="48"/>
      <c r="H219" s="48"/>
      <c r="I219" s="48"/>
      <c r="J219" s="48"/>
      <c r="K219" s="48"/>
      <c r="L219" s="48"/>
      <c r="M219" s="48"/>
      <c r="N219" s="48"/>
      <c r="O219" s="48"/>
      <c r="P219" s="48"/>
      <c r="Q219" s="48"/>
      <c r="R219" s="48"/>
      <c r="S219" s="48"/>
      <c r="T219" s="48"/>
      <c r="U219" s="48"/>
      <c r="V219" s="48"/>
      <c r="W219" s="48"/>
      <c r="X219" s="48"/>
      <c r="Y219" s="48"/>
      <c r="Z219" s="48"/>
      <c r="AA219" s="48"/>
      <c r="AB219" s="48"/>
      <c r="AC219" s="48"/>
      <c r="AD219" s="48"/>
      <c r="AE219" s="48"/>
      <c r="AF219" s="48"/>
      <c r="AG219" s="48"/>
      <c r="AH219" s="48"/>
      <c r="AI219" s="48"/>
      <c r="AJ219" s="48"/>
      <c r="AK219" s="48"/>
      <c r="AL219" s="48"/>
      <c r="AM219" s="48"/>
      <c r="AN219" s="48"/>
      <c r="AO219" s="48"/>
      <c r="AP219" s="48"/>
      <c r="AQ219" s="48"/>
      <c r="AR219" s="48"/>
      <c r="AS219" s="48"/>
      <c r="AT219" s="48"/>
      <c r="AU219" s="48"/>
      <c r="AV219" s="48"/>
      <c r="AW219" s="48"/>
      <c r="AX219" s="48"/>
      <c r="AY219" s="48"/>
      <c r="AZ219" s="48"/>
      <c r="BA219" s="48"/>
      <c r="BB219" s="48"/>
      <c r="BC219" s="48"/>
      <c r="BD219" s="48"/>
    </row>
    <row r="220" spans="1:56" x14ac:dyDescent="0.25">
      <c r="A220" s="48"/>
      <c r="B220" s="48"/>
      <c r="C220" s="48"/>
      <c r="D220" s="48"/>
      <c r="E220" s="48"/>
      <c r="F220" s="48"/>
      <c r="G220" s="48"/>
      <c r="H220" s="48"/>
      <c r="I220" s="48"/>
      <c r="J220" s="48"/>
      <c r="K220" s="48"/>
      <c r="L220" s="48"/>
      <c r="M220" s="48"/>
      <c r="N220" s="48"/>
      <c r="O220" s="48"/>
      <c r="P220" s="48"/>
      <c r="Q220" s="48"/>
      <c r="R220" s="48"/>
      <c r="S220" s="48"/>
      <c r="T220" s="48"/>
      <c r="U220" s="48"/>
      <c r="V220" s="48"/>
      <c r="W220" s="48"/>
      <c r="X220" s="48"/>
      <c r="Y220" s="48"/>
      <c r="Z220" s="48"/>
      <c r="AA220" s="48"/>
      <c r="AB220" s="48"/>
      <c r="AC220" s="48"/>
      <c r="AD220" s="48"/>
      <c r="AE220" s="48"/>
      <c r="AF220" s="48"/>
      <c r="AG220" s="48"/>
      <c r="AH220" s="48"/>
      <c r="AI220" s="48"/>
      <c r="AJ220" s="48"/>
      <c r="AK220" s="48"/>
      <c r="AL220" s="48"/>
      <c r="AM220" s="48"/>
      <c r="AN220" s="48"/>
      <c r="AO220" s="48"/>
      <c r="AP220" s="48"/>
      <c r="AQ220" s="48"/>
      <c r="AR220" s="48"/>
      <c r="AS220" s="48"/>
      <c r="AT220" s="48"/>
      <c r="AU220" s="48"/>
      <c r="AV220" s="48"/>
      <c r="AW220" s="48"/>
      <c r="AX220" s="48"/>
      <c r="AY220" s="48"/>
      <c r="AZ220" s="48"/>
      <c r="BA220" s="48"/>
      <c r="BB220" s="48"/>
      <c r="BC220" s="48"/>
      <c r="BD220" s="48"/>
    </row>
    <row r="221" spans="1:56" x14ac:dyDescent="0.25">
      <c r="A221" s="48"/>
      <c r="B221" s="48"/>
      <c r="C221" s="48"/>
      <c r="D221" s="48"/>
      <c r="E221" s="48"/>
      <c r="F221" s="48"/>
      <c r="G221" s="48"/>
      <c r="H221" s="48"/>
      <c r="I221" s="48"/>
      <c r="J221" s="48"/>
      <c r="K221" s="48"/>
      <c r="L221" s="48"/>
      <c r="M221" s="48"/>
      <c r="N221" s="48"/>
      <c r="O221" s="48"/>
      <c r="P221" s="48"/>
      <c r="Q221" s="48"/>
      <c r="R221" s="48"/>
      <c r="S221" s="48"/>
      <c r="T221" s="48"/>
      <c r="U221" s="48"/>
      <c r="V221" s="48"/>
      <c r="W221" s="48"/>
      <c r="X221" s="48"/>
      <c r="Y221" s="48"/>
      <c r="Z221" s="48"/>
      <c r="AA221" s="48"/>
      <c r="AB221" s="48"/>
      <c r="AC221" s="48"/>
      <c r="AD221" s="48"/>
      <c r="AE221" s="48"/>
      <c r="AF221" s="48"/>
      <c r="AG221" s="48"/>
      <c r="AH221" s="48"/>
      <c r="AI221" s="48"/>
      <c r="AJ221" s="48"/>
      <c r="AK221" s="48"/>
      <c r="AL221" s="48"/>
      <c r="AM221" s="48"/>
      <c r="AN221" s="48"/>
      <c r="AO221" s="48"/>
      <c r="AP221" s="48"/>
      <c r="AQ221" s="48"/>
      <c r="AR221" s="48"/>
      <c r="AS221" s="48"/>
      <c r="AT221" s="48"/>
      <c r="AU221" s="48"/>
      <c r="AV221" s="48"/>
      <c r="AW221" s="48"/>
      <c r="AX221" s="48"/>
      <c r="AY221" s="48"/>
      <c r="AZ221" s="48"/>
      <c r="BA221" s="48"/>
      <c r="BB221" s="48"/>
      <c r="BC221" s="48"/>
      <c r="BD221" s="48"/>
    </row>
    <row r="222" spans="1:56" x14ac:dyDescent="0.25">
      <c r="A222" s="48"/>
      <c r="B222" s="48"/>
      <c r="C222" s="48"/>
      <c r="D222" s="48"/>
      <c r="E222" s="48"/>
      <c r="F222" s="48"/>
      <c r="G222" s="48"/>
      <c r="H222" s="48"/>
      <c r="I222" s="48"/>
      <c r="J222" s="48"/>
      <c r="K222" s="48"/>
      <c r="L222" s="48"/>
      <c r="M222" s="48"/>
      <c r="N222" s="48"/>
      <c r="O222" s="48"/>
      <c r="P222" s="48"/>
      <c r="Q222" s="48"/>
      <c r="R222" s="48"/>
      <c r="S222" s="48"/>
      <c r="T222" s="48"/>
      <c r="U222" s="48"/>
      <c r="V222" s="48"/>
      <c r="W222" s="48"/>
      <c r="X222" s="48"/>
      <c r="Y222" s="48"/>
      <c r="Z222" s="48"/>
      <c r="AA222" s="48"/>
      <c r="AB222" s="48"/>
      <c r="AC222" s="48"/>
      <c r="AD222" s="48"/>
      <c r="AE222" s="48"/>
      <c r="AF222" s="48"/>
      <c r="AG222" s="48"/>
      <c r="AH222" s="48"/>
      <c r="AI222" s="48"/>
      <c r="AJ222" s="48"/>
      <c r="AK222" s="48"/>
      <c r="AL222" s="48"/>
      <c r="AM222" s="48"/>
      <c r="AN222" s="48"/>
      <c r="AO222" s="48"/>
      <c r="AP222" s="48"/>
      <c r="AQ222" s="48"/>
      <c r="AR222" s="48"/>
      <c r="AS222" s="48"/>
      <c r="AT222" s="48"/>
      <c r="AU222" s="48"/>
      <c r="AV222" s="48"/>
      <c r="AW222" s="48"/>
      <c r="AX222" s="48"/>
      <c r="AY222" s="48"/>
      <c r="AZ222" s="48"/>
      <c r="BA222" s="48"/>
      <c r="BB222" s="48"/>
      <c r="BC222" s="48"/>
      <c r="BD222" s="48"/>
    </row>
    <row r="223" spans="1:56" x14ac:dyDescent="0.25">
      <c r="A223" s="48"/>
      <c r="B223" s="48"/>
      <c r="C223" s="48"/>
      <c r="D223" s="48"/>
      <c r="E223" s="48"/>
      <c r="F223" s="48"/>
      <c r="G223" s="48"/>
      <c r="H223" s="48"/>
      <c r="I223" s="48"/>
      <c r="J223" s="48"/>
      <c r="K223" s="48"/>
      <c r="L223" s="48"/>
      <c r="M223" s="48"/>
      <c r="N223" s="48"/>
      <c r="O223" s="48"/>
      <c r="P223" s="48"/>
      <c r="Q223" s="48"/>
      <c r="R223" s="48"/>
      <c r="S223" s="48"/>
      <c r="T223" s="48"/>
      <c r="U223" s="48"/>
      <c r="V223" s="48"/>
      <c r="W223" s="48"/>
      <c r="X223" s="48"/>
      <c r="Y223" s="48"/>
      <c r="Z223" s="48"/>
      <c r="AA223" s="48"/>
      <c r="AB223" s="48"/>
      <c r="AC223" s="48"/>
      <c r="AD223" s="48"/>
      <c r="AE223" s="48"/>
      <c r="AF223" s="48"/>
      <c r="AG223" s="48"/>
      <c r="AH223" s="48"/>
      <c r="AI223" s="48"/>
      <c r="AJ223" s="48"/>
      <c r="AK223" s="48"/>
      <c r="AL223" s="48"/>
      <c r="AM223" s="48"/>
      <c r="AN223" s="48"/>
      <c r="AO223" s="48"/>
      <c r="AP223" s="48"/>
      <c r="AQ223" s="48"/>
      <c r="AR223" s="48"/>
      <c r="AS223" s="48"/>
      <c r="AT223" s="48"/>
      <c r="AU223" s="48"/>
      <c r="AV223" s="48"/>
      <c r="AW223" s="48"/>
      <c r="AX223" s="48"/>
      <c r="AY223" s="48"/>
      <c r="AZ223" s="48"/>
      <c r="BA223" s="48"/>
      <c r="BB223" s="48"/>
      <c r="BC223" s="48"/>
      <c r="BD223" s="48"/>
    </row>
    <row r="224" spans="1:56" x14ac:dyDescent="0.25">
      <c r="A224" s="48"/>
      <c r="B224" s="48"/>
      <c r="C224" s="48"/>
      <c r="D224" s="48"/>
      <c r="E224" s="48"/>
      <c r="F224" s="48"/>
      <c r="G224" s="48"/>
      <c r="H224" s="48"/>
      <c r="I224" s="48"/>
      <c r="J224" s="48"/>
      <c r="K224" s="48"/>
      <c r="L224" s="48"/>
      <c r="M224" s="48"/>
      <c r="N224" s="48"/>
      <c r="O224" s="48"/>
      <c r="P224" s="48"/>
      <c r="Q224" s="48"/>
      <c r="R224" s="48"/>
      <c r="S224" s="48"/>
      <c r="T224" s="48"/>
      <c r="U224" s="48"/>
      <c r="V224" s="48"/>
      <c r="W224" s="48"/>
      <c r="X224" s="48"/>
      <c r="Y224" s="48"/>
      <c r="Z224" s="48"/>
      <c r="AA224" s="48"/>
      <c r="AB224" s="48"/>
      <c r="AC224" s="48"/>
      <c r="AD224" s="48"/>
      <c r="AE224" s="48"/>
      <c r="AF224" s="48"/>
      <c r="AG224" s="48"/>
      <c r="AH224" s="48"/>
      <c r="AI224" s="48"/>
      <c r="AJ224" s="48"/>
      <c r="AK224" s="48"/>
      <c r="AL224" s="48"/>
      <c r="AM224" s="48"/>
      <c r="AN224" s="48"/>
      <c r="AO224" s="48"/>
      <c r="AP224" s="48"/>
      <c r="AQ224" s="48"/>
      <c r="AR224" s="48"/>
      <c r="AS224" s="48"/>
      <c r="AT224" s="48"/>
      <c r="AU224" s="48"/>
      <c r="AV224" s="48"/>
      <c r="AW224" s="48"/>
      <c r="AX224" s="48"/>
      <c r="AY224" s="48"/>
      <c r="AZ224" s="48"/>
      <c r="BA224" s="48"/>
      <c r="BB224" s="48"/>
      <c r="BC224" s="48"/>
      <c r="BD224" s="48"/>
    </row>
    <row r="225" spans="1:56" x14ac:dyDescent="0.25">
      <c r="A225" s="48"/>
      <c r="B225" s="48"/>
      <c r="C225" s="48"/>
      <c r="D225" s="48"/>
      <c r="E225" s="48"/>
      <c r="F225" s="48"/>
      <c r="G225" s="48"/>
      <c r="H225" s="48"/>
      <c r="I225" s="48"/>
      <c r="J225" s="48"/>
      <c r="K225" s="48"/>
      <c r="L225" s="48"/>
      <c r="M225" s="48"/>
      <c r="N225" s="48"/>
      <c r="O225" s="48"/>
      <c r="P225" s="48"/>
      <c r="Q225" s="48"/>
      <c r="R225" s="48"/>
      <c r="S225" s="48"/>
      <c r="T225" s="48"/>
      <c r="U225" s="48"/>
      <c r="V225" s="48"/>
      <c r="W225" s="48"/>
      <c r="X225" s="48"/>
      <c r="Y225" s="48"/>
      <c r="Z225" s="48"/>
      <c r="AA225" s="48"/>
      <c r="AB225" s="48"/>
      <c r="AC225" s="48"/>
      <c r="AD225" s="48"/>
      <c r="AE225" s="48"/>
      <c r="AF225" s="48"/>
      <c r="AG225" s="48"/>
      <c r="AH225" s="48"/>
      <c r="AI225" s="48"/>
      <c r="AJ225" s="48"/>
      <c r="AK225" s="48"/>
      <c r="AL225" s="48"/>
      <c r="AM225" s="48"/>
      <c r="AN225" s="48"/>
      <c r="AO225" s="48"/>
      <c r="AP225" s="48"/>
      <c r="AQ225" s="48"/>
      <c r="AR225" s="48"/>
      <c r="AS225" s="48"/>
      <c r="AT225" s="48"/>
      <c r="AU225" s="48"/>
      <c r="AV225" s="48"/>
      <c r="AW225" s="48"/>
      <c r="AX225" s="48"/>
      <c r="AY225" s="48"/>
      <c r="AZ225" s="48"/>
      <c r="BA225" s="48"/>
      <c r="BB225" s="48"/>
      <c r="BC225" s="48"/>
      <c r="BD225" s="48"/>
    </row>
    <row r="226" spans="1:56" x14ac:dyDescent="0.25">
      <c r="A226" s="48"/>
      <c r="B226" s="48"/>
      <c r="C226" s="48"/>
      <c r="D226" s="48"/>
      <c r="E226" s="48"/>
      <c r="F226" s="48"/>
      <c r="G226" s="48"/>
      <c r="H226" s="48"/>
      <c r="I226" s="48"/>
      <c r="J226" s="48"/>
      <c r="K226" s="48"/>
      <c r="L226" s="48"/>
      <c r="M226" s="48"/>
      <c r="N226" s="48"/>
      <c r="O226" s="48"/>
      <c r="P226" s="48"/>
      <c r="Q226" s="48"/>
      <c r="R226" s="48"/>
      <c r="S226" s="48"/>
      <c r="T226" s="48"/>
      <c r="U226" s="48"/>
      <c r="V226" s="48"/>
      <c r="W226" s="48"/>
      <c r="X226" s="48"/>
      <c r="Y226" s="48"/>
      <c r="Z226" s="48"/>
      <c r="AA226" s="48"/>
      <c r="AB226" s="48"/>
      <c r="AC226" s="48"/>
      <c r="AD226" s="48"/>
      <c r="AE226" s="48"/>
      <c r="AF226" s="48"/>
      <c r="AG226" s="48"/>
      <c r="AH226" s="48"/>
      <c r="AI226" s="48"/>
      <c r="AJ226" s="48"/>
      <c r="AK226" s="48"/>
      <c r="AL226" s="48"/>
      <c r="AM226" s="48"/>
      <c r="AN226" s="48"/>
      <c r="AO226" s="48"/>
      <c r="AP226" s="48"/>
      <c r="AQ226" s="48"/>
      <c r="AR226" s="48"/>
      <c r="AS226" s="48"/>
      <c r="AT226" s="48"/>
      <c r="AU226" s="48"/>
      <c r="AV226" s="48"/>
      <c r="AW226" s="48"/>
      <c r="AX226" s="48"/>
      <c r="AY226" s="48"/>
      <c r="AZ226" s="48"/>
      <c r="BA226" s="48"/>
      <c r="BB226" s="48"/>
      <c r="BC226" s="48"/>
      <c r="BD226" s="48"/>
    </row>
    <row r="227" spans="1:56" x14ac:dyDescent="0.25">
      <c r="A227" s="48"/>
      <c r="B227" s="48"/>
      <c r="C227" s="48"/>
      <c r="D227" s="48"/>
      <c r="E227" s="48"/>
      <c r="F227" s="48"/>
      <c r="G227" s="48"/>
      <c r="H227" s="48"/>
      <c r="I227" s="48"/>
      <c r="J227" s="48"/>
      <c r="K227" s="48"/>
      <c r="L227" s="48"/>
      <c r="M227" s="48"/>
      <c r="N227" s="48"/>
      <c r="O227" s="48"/>
      <c r="P227" s="48"/>
      <c r="Q227" s="48"/>
      <c r="R227" s="48"/>
      <c r="S227" s="48"/>
      <c r="T227" s="48"/>
      <c r="U227" s="48"/>
      <c r="V227" s="48"/>
      <c r="W227" s="48"/>
      <c r="X227" s="48"/>
      <c r="Y227" s="48"/>
      <c r="Z227" s="48"/>
      <c r="AA227" s="48"/>
      <c r="AB227" s="48"/>
      <c r="AC227" s="48"/>
      <c r="AD227" s="48"/>
      <c r="AE227" s="48"/>
      <c r="AF227" s="48"/>
      <c r="AG227" s="48"/>
      <c r="AH227" s="48"/>
      <c r="AI227" s="48"/>
      <c r="AJ227" s="48"/>
      <c r="AK227" s="48"/>
      <c r="AL227" s="48"/>
      <c r="AM227" s="48"/>
      <c r="AN227" s="48"/>
      <c r="AO227" s="48"/>
      <c r="AP227" s="48"/>
      <c r="AQ227" s="48"/>
      <c r="AR227" s="48"/>
      <c r="AS227" s="48"/>
      <c r="AT227" s="48"/>
      <c r="AU227" s="48"/>
      <c r="AV227" s="48"/>
      <c r="AW227" s="48"/>
      <c r="AX227" s="48"/>
      <c r="AY227" s="48"/>
      <c r="AZ227" s="48"/>
      <c r="BA227" s="48"/>
      <c r="BB227" s="48"/>
      <c r="BC227" s="48"/>
      <c r="BD227" s="48"/>
    </row>
    <row r="228" spans="1:56" x14ac:dyDescent="0.25">
      <c r="A228" s="48"/>
      <c r="B228" s="48"/>
      <c r="C228" s="48"/>
      <c r="D228" s="48"/>
      <c r="E228" s="48"/>
      <c r="F228" s="48"/>
      <c r="G228" s="48"/>
      <c r="H228" s="48"/>
      <c r="I228" s="48"/>
      <c r="J228" s="48"/>
      <c r="K228" s="48"/>
      <c r="L228" s="48"/>
      <c r="M228" s="48"/>
      <c r="N228" s="48"/>
      <c r="O228" s="48"/>
      <c r="P228" s="48"/>
      <c r="Q228" s="48"/>
      <c r="R228" s="48"/>
      <c r="S228" s="48"/>
      <c r="T228" s="48"/>
      <c r="U228" s="48"/>
      <c r="V228" s="48"/>
      <c r="W228" s="48"/>
      <c r="X228" s="48"/>
      <c r="Y228" s="48"/>
      <c r="Z228" s="48"/>
      <c r="AA228" s="48"/>
      <c r="AB228" s="48"/>
      <c r="AC228" s="48"/>
      <c r="AD228" s="48"/>
      <c r="AE228" s="48"/>
      <c r="AF228" s="48"/>
      <c r="AG228" s="48"/>
      <c r="AH228" s="48"/>
      <c r="AI228" s="48"/>
      <c r="AJ228" s="48"/>
      <c r="AK228" s="48"/>
      <c r="AL228" s="48"/>
      <c r="AM228" s="48"/>
      <c r="AN228" s="48"/>
      <c r="AO228" s="48"/>
      <c r="AP228" s="48"/>
      <c r="AQ228" s="48"/>
      <c r="AR228" s="48"/>
      <c r="AS228" s="48"/>
      <c r="AT228" s="48"/>
      <c r="AU228" s="48"/>
      <c r="AV228" s="48"/>
      <c r="AW228" s="48"/>
      <c r="AX228" s="48"/>
      <c r="AY228" s="48"/>
      <c r="AZ228" s="48"/>
      <c r="BA228" s="48"/>
      <c r="BB228" s="48"/>
      <c r="BC228" s="48"/>
      <c r="BD228" s="48"/>
    </row>
    <row r="229" spans="1:56" x14ac:dyDescent="0.25">
      <c r="A229" s="48"/>
      <c r="B229" s="48"/>
      <c r="C229" s="48"/>
      <c r="D229" s="48"/>
      <c r="E229" s="48"/>
      <c r="F229" s="48"/>
      <c r="G229" s="48"/>
      <c r="H229" s="48"/>
      <c r="I229" s="48"/>
      <c r="J229" s="48"/>
      <c r="K229" s="48"/>
      <c r="L229" s="48"/>
      <c r="M229" s="48"/>
      <c r="N229" s="48"/>
      <c r="O229" s="48"/>
      <c r="P229" s="48"/>
      <c r="Q229" s="48"/>
      <c r="R229" s="48"/>
      <c r="S229" s="48"/>
      <c r="T229" s="48"/>
      <c r="U229" s="48"/>
      <c r="V229" s="48"/>
      <c r="W229" s="48"/>
      <c r="X229" s="48"/>
      <c r="Y229" s="48"/>
      <c r="Z229" s="48"/>
      <c r="AA229" s="48"/>
      <c r="AB229" s="48"/>
      <c r="AC229" s="48"/>
      <c r="AD229" s="48"/>
      <c r="AE229" s="48"/>
      <c r="AF229" s="48"/>
      <c r="AG229" s="48"/>
      <c r="AH229" s="48"/>
      <c r="AI229" s="48"/>
      <c r="AJ229" s="48"/>
      <c r="AK229" s="48"/>
      <c r="AL229" s="48"/>
      <c r="AM229" s="48"/>
      <c r="AN229" s="48"/>
      <c r="AO229" s="48"/>
      <c r="AP229" s="48"/>
      <c r="AQ229" s="48"/>
      <c r="AR229" s="48"/>
      <c r="AS229" s="48"/>
      <c r="AT229" s="48"/>
      <c r="AU229" s="48"/>
      <c r="AV229" s="48"/>
      <c r="AW229" s="48"/>
      <c r="AX229" s="48"/>
      <c r="AY229" s="48"/>
      <c r="AZ229" s="48"/>
      <c r="BA229" s="48"/>
      <c r="BB229" s="48"/>
      <c r="BC229" s="48"/>
      <c r="BD229" s="48"/>
    </row>
    <row r="230" spans="1:56" x14ac:dyDescent="0.25">
      <c r="A230" s="48"/>
      <c r="B230" s="48"/>
      <c r="C230" s="48"/>
      <c r="D230" s="48"/>
      <c r="E230" s="48"/>
      <c r="F230" s="48"/>
      <c r="G230" s="48"/>
      <c r="H230" s="48"/>
      <c r="I230" s="48"/>
      <c r="J230" s="48"/>
      <c r="K230" s="48"/>
      <c r="L230" s="48"/>
      <c r="M230" s="48"/>
      <c r="N230" s="48"/>
      <c r="O230" s="48"/>
      <c r="P230" s="48"/>
      <c r="Q230" s="48"/>
      <c r="R230" s="48"/>
      <c r="S230" s="48"/>
      <c r="T230" s="48"/>
      <c r="U230" s="48"/>
      <c r="V230" s="48"/>
      <c r="W230" s="48"/>
      <c r="X230" s="48"/>
      <c r="Y230" s="48"/>
      <c r="Z230" s="48"/>
      <c r="AA230" s="48"/>
      <c r="AB230" s="48"/>
      <c r="AC230" s="48"/>
      <c r="AD230" s="48"/>
      <c r="AE230" s="48"/>
      <c r="AF230" s="48"/>
      <c r="AG230" s="48"/>
      <c r="AH230" s="48"/>
      <c r="AI230" s="48"/>
      <c r="AJ230" s="48"/>
      <c r="AK230" s="48"/>
      <c r="AL230" s="48"/>
      <c r="AM230" s="48"/>
      <c r="AN230" s="48"/>
      <c r="AO230" s="48"/>
      <c r="AP230" s="48"/>
      <c r="AQ230" s="48"/>
      <c r="AR230" s="48"/>
      <c r="AS230" s="48"/>
      <c r="AT230" s="48"/>
      <c r="AU230" s="48"/>
      <c r="AV230" s="48"/>
      <c r="AW230" s="48"/>
      <c r="AX230" s="48"/>
      <c r="AY230" s="48"/>
      <c r="AZ230" s="48"/>
      <c r="BA230" s="48"/>
      <c r="BB230" s="48"/>
      <c r="BC230" s="48"/>
      <c r="BD230" s="48"/>
    </row>
    <row r="231" spans="1:56" x14ac:dyDescent="0.25">
      <c r="A231" s="48"/>
      <c r="B231" s="48"/>
      <c r="C231" s="48"/>
      <c r="D231" s="48"/>
      <c r="E231" s="48"/>
      <c r="F231" s="48"/>
      <c r="G231" s="48"/>
      <c r="H231" s="48"/>
      <c r="I231" s="48"/>
      <c r="J231" s="48"/>
      <c r="K231" s="48"/>
      <c r="L231" s="48"/>
      <c r="M231" s="48"/>
      <c r="N231" s="48"/>
      <c r="O231" s="48"/>
      <c r="P231" s="48"/>
      <c r="Q231" s="48"/>
      <c r="R231" s="48"/>
      <c r="S231" s="48"/>
      <c r="T231" s="48"/>
      <c r="U231" s="48"/>
      <c r="V231" s="48"/>
      <c r="W231" s="48"/>
      <c r="X231" s="48"/>
      <c r="Y231" s="48"/>
      <c r="Z231" s="48"/>
      <c r="AA231" s="48"/>
      <c r="AB231" s="48"/>
      <c r="AC231" s="48"/>
      <c r="AD231" s="48"/>
      <c r="AE231" s="48"/>
      <c r="AF231" s="48"/>
      <c r="AG231" s="48"/>
      <c r="AH231" s="48"/>
      <c r="AI231" s="48"/>
      <c r="AJ231" s="48"/>
      <c r="AK231" s="48"/>
      <c r="AL231" s="48"/>
      <c r="AM231" s="48"/>
      <c r="AN231" s="48"/>
      <c r="AO231" s="48"/>
      <c r="AP231" s="48"/>
      <c r="AQ231" s="48"/>
      <c r="AR231" s="48"/>
      <c r="AS231" s="48"/>
      <c r="AT231" s="48"/>
      <c r="AU231" s="48"/>
      <c r="AV231" s="48"/>
      <c r="AW231" s="48"/>
      <c r="AX231" s="48"/>
      <c r="AY231" s="48"/>
      <c r="AZ231" s="48"/>
      <c r="BA231" s="48"/>
      <c r="BB231" s="48"/>
      <c r="BC231" s="48"/>
      <c r="BD231" s="48"/>
    </row>
    <row r="232" spans="1:56" x14ac:dyDescent="0.25">
      <c r="A232" s="48"/>
      <c r="B232" s="48"/>
      <c r="C232" s="48"/>
      <c r="D232" s="48"/>
      <c r="E232" s="48"/>
      <c r="F232" s="48"/>
      <c r="G232" s="48"/>
      <c r="H232" s="48"/>
      <c r="I232" s="48"/>
      <c r="J232" s="48"/>
      <c r="K232" s="48"/>
      <c r="L232" s="48"/>
      <c r="M232" s="48"/>
      <c r="N232" s="48"/>
      <c r="O232" s="48"/>
      <c r="P232" s="48"/>
      <c r="Q232" s="48"/>
      <c r="R232" s="48"/>
      <c r="S232" s="48"/>
      <c r="T232" s="48"/>
      <c r="U232" s="48"/>
      <c r="V232" s="48"/>
      <c r="W232" s="48"/>
      <c r="X232" s="48"/>
      <c r="Y232" s="48"/>
      <c r="Z232" s="48"/>
      <c r="AA232" s="48"/>
      <c r="AB232" s="48"/>
      <c r="AC232" s="48"/>
      <c r="AD232" s="48"/>
      <c r="AE232" s="48"/>
      <c r="AF232" s="48"/>
      <c r="AG232" s="48"/>
      <c r="AH232" s="48"/>
      <c r="AI232" s="48"/>
      <c r="AJ232" s="48"/>
      <c r="AK232" s="48"/>
      <c r="AL232" s="48"/>
      <c r="AM232" s="48"/>
      <c r="AN232" s="48"/>
      <c r="AO232" s="48"/>
      <c r="AP232" s="48"/>
      <c r="AQ232" s="48"/>
      <c r="AR232" s="48"/>
      <c r="AS232" s="48"/>
      <c r="AT232" s="48"/>
      <c r="AU232" s="48"/>
      <c r="AV232" s="48"/>
      <c r="AW232" s="48"/>
      <c r="AX232" s="48"/>
      <c r="AY232" s="48"/>
      <c r="AZ232" s="48"/>
      <c r="BA232" s="48"/>
      <c r="BB232" s="48"/>
      <c r="BC232" s="48"/>
      <c r="BD232" s="48"/>
    </row>
    <row r="233" spans="1:56" x14ac:dyDescent="0.25">
      <c r="A233" s="48"/>
      <c r="B233" s="48"/>
      <c r="C233" s="48"/>
      <c r="D233" s="48"/>
      <c r="E233" s="48"/>
      <c r="F233" s="48"/>
      <c r="G233" s="48"/>
      <c r="H233" s="48"/>
      <c r="I233" s="48"/>
      <c r="J233" s="48"/>
      <c r="K233" s="48"/>
      <c r="L233" s="48"/>
      <c r="M233" s="48"/>
      <c r="N233" s="48"/>
      <c r="O233" s="48"/>
      <c r="P233" s="48"/>
      <c r="Q233" s="48"/>
      <c r="R233" s="48"/>
      <c r="S233" s="48"/>
      <c r="T233" s="48"/>
      <c r="U233" s="48"/>
      <c r="V233" s="48"/>
      <c r="W233" s="48"/>
      <c r="X233" s="48"/>
      <c r="Y233" s="48"/>
      <c r="Z233" s="48"/>
      <c r="AA233" s="48"/>
      <c r="AB233" s="48"/>
      <c r="AC233" s="48"/>
      <c r="AD233" s="48"/>
      <c r="AE233" s="48"/>
      <c r="AF233" s="48"/>
      <c r="AG233" s="48"/>
      <c r="AH233" s="48"/>
      <c r="AI233" s="48"/>
      <c r="AJ233" s="48"/>
      <c r="AK233" s="48"/>
      <c r="AL233" s="48"/>
      <c r="AM233" s="48"/>
      <c r="AN233" s="48"/>
      <c r="AO233" s="48"/>
      <c r="AP233" s="48"/>
      <c r="AQ233" s="48"/>
      <c r="AR233" s="48"/>
      <c r="AS233" s="48"/>
      <c r="AT233" s="48"/>
      <c r="AU233" s="48"/>
      <c r="AV233" s="48"/>
      <c r="AW233" s="48"/>
      <c r="AX233" s="48"/>
      <c r="AY233" s="48"/>
      <c r="AZ233" s="48"/>
      <c r="BA233" s="48"/>
      <c r="BB233" s="48"/>
      <c r="BC233" s="48"/>
      <c r="BD233" s="48"/>
    </row>
    <row r="234" spans="1:56" x14ac:dyDescent="0.25">
      <c r="A234" s="48"/>
      <c r="B234" s="48"/>
      <c r="C234" s="48"/>
      <c r="D234" s="48"/>
      <c r="E234" s="48"/>
      <c r="F234" s="48"/>
      <c r="G234" s="48"/>
      <c r="H234" s="48"/>
      <c r="I234" s="48"/>
      <c r="J234" s="48"/>
      <c r="K234" s="48"/>
      <c r="L234" s="48"/>
      <c r="M234" s="48"/>
      <c r="N234" s="48"/>
      <c r="O234" s="48"/>
      <c r="P234" s="48"/>
      <c r="Q234" s="48"/>
      <c r="R234" s="48"/>
      <c r="S234" s="48"/>
      <c r="T234" s="48"/>
      <c r="U234" s="48"/>
      <c r="V234" s="48"/>
      <c r="W234" s="48"/>
      <c r="X234" s="48"/>
      <c r="Y234" s="48"/>
      <c r="Z234" s="48"/>
      <c r="AA234" s="48"/>
      <c r="AB234" s="48"/>
      <c r="AC234" s="48"/>
      <c r="AD234" s="48"/>
      <c r="AE234" s="48"/>
      <c r="AF234" s="48"/>
      <c r="AG234" s="48"/>
      <c r="AH234" s="48"/>
      <c r="AI234" s="48"/>
      <c r="AJ234" s="48"/>
      <c r="AK234" s="48"/>
      <c r="AL234" s="48"/>
      <c r="AM234" s="48"/>
      <c r="AN234" s="48"/>
      <c r="AO234" s="48"/>
      <c r="AP234" s="48"/>
      <c r="AQ234" s="48"/>
      <c r="AR234" s="48"/>
      <c r="AS234" s="48"/>
      <c r="AT234" s="48"/>
      <c r="AU234" s="48"/>
      <c r="AV234" s="48"/>
      <c r="AW234" s="48"/>
      <c r="AX234" s="48"/>
      <c r="AY234" s="48"/>
      <c r="AZ234" s="48"/>
      <c r="BA234" s="48"/>
      <c r="BB234" s="48"/>
      <c r="BC234" s="48"/>
      <c r="BD234" s="48"/>
    </row>
    <row r="235" spans="1:56" x14ac:dyDescent="0.25">
      <c r="A235" s="48"/>
      <c r="B235" s="48"/>
      <c r="C235" s="48"/>
      <c r="D235" s="48"/>
      <c r="E235" s="48"/>
      <c r="F235" s="48"/>
      <c r="G235" s="48"/>
      <c r="H235" s="48"/>
      <c r="I235" s="48"/>
      <c r="J235" s="48"/>
      <c r="K235" s="48"/>
      <c r="L235" s="48"/>
      <c r="M235" s="48"/>
      <c r="N235" s="48"/>
      <c r="O235" s="48"/>
      <c r="P235" s="48"/>
      <c r="Q235" s="48"/>
      <c r="R235" s="48"/>
      <c r="S235" s="48"/>
      <c r="T235" s="48"/>
      <c r="U235" s="48"/>
      <c r="V235" s="48"/>
      <c r="W235" s="48"/>
      <c r="X235" s="48"/>
      <c r="Y235" s="48"/>
      <c r="Z235" s="48"/>
      <c r="AA235" s="48"/>
      <c r="AB235" s="48"/>
      <c r="AC235" s="48"/>
      <c r="AD235" s="48"/>
      <c r="AE235" s="48"/>
      <c r="AF235" s="48"/>
      <c r="AG235" s="48"/>
      <c r="AH235" s="48"/>
      <c r="AI235" s="48"/>
      <c r="AJ235" s="48"/>
      <c r="AK235" s="48"/>
      <c r="AL235" s="48"/>
      <c r="AM235" s="48"/>
      <c r="AN235" s="48"/>
      <c r="AO235" s="48"/>
      <c r="AP235" s="48"/>
      <c r="AQ235" s="48"/>
      <c r="AR235" s="48"/>
      <c r="AS235" s="48"/>
      <c r="AT235" s="48"/>
      <c r="AU235" s="48"/>
      <c r="AV235" s="48"/>
      <c r="AW235" s="48"/>
      <c r="AX235" s="48"/>
      <c r="AY235" s="48"/>
      <c r="AZ235" s="48"/>
      <c r="BA235" s="48"/>
      <c r="BB235" s="48"/>
      <c r="BC235" s="48"/>
      <c r="BD235" s="48"/>
    </row>
    <row r="236" spans="1:56" x14ac:dyDescent="0.25">
      <c r="A236" s="48"/>
      <c r="B236" s="48"/>
      <c r="C236" s="48"/>
      <c r="D236" s="48"/>
      <c r="E236" s="48"/>
      <c r="F236" s="48"/>
      <c r="G236" s="48"/>
      <c r="H236" s="48"/>
      <c r="I236" s="48"/>
      <c r="J236" s="48"/>
      <c r="K236" s="48"/>
      <c r="L236" s="48"/>
      <c r="M236" s="48"/>
      <c r="N236" s="48"/>
      <c r="O236" s="48"/>
      <c r="P236" s="48"/>
      <c r="Q236" s="48"/>
      <c r="R236" s="48"/>
      <c r="S236" s="48"/>
      <c r="T236" s="48"/>
      <c r="U236" s="48"/>
      <c r="V236" s="48"/>
      <c r="W236" s="48"/>
      <c r="X236" s="48"/>
      <c r="Y236" s="48"/>
      <c r="Z236" s="48"/>
      <c r="AA236" s="48"/>
      <c r="AB236" s="48"/>
      <c r="AC236" s="48"/>
      <c r="AD236" s="48"/>
      <c r="AE236" s="48"/>
      <c r="AF236" s="48"/>
      <c r="AG236" s="48"/>
      <c r="AH236" s="48"/>
      <c r="AI236" s="48"/>
      <c r="AJ236" s="48"/>
      <c r="AK236" s="48"/>
      <c r="AL236" s="48"/>
      <c r="AM236" s="48"/>
      <c r="AN236" s="48"/>
      <c r="AO236" s="48"/>
      <c r="AP236" s="48"/>
      <c r="AQ236" s="48"/>
      <c r="AR236" s="48"/>
      <c r="AS236" s="48"/>
      <c r="AT236" s="48"/>
      <c r="AU236" s="48"/>
      <c r="AV236" s="48"/>
      <c r="AW236" s="48"/>
      <c r="AX236" s="48"/>
      <c r="AY236" s="48"/>
      <c r="AZ236" s="48"/>
      <c r="BA236" s="48"/>
      <c r="BB236" s="48"/>
      <c r="BC236" s="48"/>
      <c r="BD236" s="48"/>
    </row>
    <row r="237" spans="1:56" x14ac:dyDescent="0.25">
      <c r="A237" s="48"/>
      <c r="B237" s="48"/>
      <c r="C237" s="48"/>
      <c r="D237" s="48"/>
      <c r="E237" s="48"/>
      <c r="F237" s="48"/>
      <c r="G237" s="48"/>
      <c r="H237" s="48"/>
      <c r="I237" s="48"/>
      <c r="J237" s="48"/>
      <c r="K237" s="48"/>
      <c r="L237" s="48"/>
      <c r="M237" s="48"/>
      <c r="N237" s="48"/>
      <c r="O237" s="48"/>
      <c r="P237" s="48"/>
      <c r="Q237" s="48"/>
      <c r="R237" s="48"/>
      <c r="S237" s="48"/>
      <c r="T237" s="48"/>
      <c r="U237" s="48"/>
      <c r="V237" s="48"/>
      <c r="W237" s="48"/>
      <c r="X237" s="48"/>
      <c r="Y237" s="48"/>
      <c r="Z237" s="48"/>
      <c r="AA237" s="48"/>
      <c r="AB237" s="48"/>
      <c r="AC237" s="48"/>
      <c r="AD237" s="48"/>
      <c r="AE237" s="48"/>
      <c r="AF237" s="48"/>
      <c r="AG237" s="48"/>
      <c r="AH237" s="48"/>
      <c r="AI237" s="48"/>
      <c r="AJ237" s="48"/>
      <c r="AK237" s="48"/>
      <c r="AL237" s="48"/>
      <c r="AM237" s="48"/>
      <c r="AN237" s="48"/>
      <c r="AO237" s="48"/>
      <c r="AP237" s="48"/>
      <c r="AQ237" s="48"/>
      <c r="AR237" s="48"/>
      <c r="AS237" s="48"/>
      <c r="AT237" s="48"/>
      <c r="AU237" s="48"/>
      <c r="AV237" s="48"/>
      <c r="AW237" s="48"/>
      <c r="AX237" s="48"/>
      <c r="AY237" s="48"/>
      <c r="AZ237" s="48"/>
      <c r="BA237" s="48"/>
      <c r="BB237" s="48"/>
      <c r="BC237" s="48"/>
      <c r="BD237" s="48"/>
    </row>
    <row r="238" spans="1:56" x14ac:dyDescent="0.25">
      <c r="A238" s="48"/>
      <c r="B238" s="48"/>
      <c r="C238" s="48"/>
      <c r="D238" s="48"/>
      <c r="E238" s="48"/>
      <c r="F238" s="48"/>
      <c r="G238" s="48"/>
      <c r="H238" s="48"/>
      <c r="I238" s="48"/>
      <c r="J238" s="48"/>
      <c r="K238" s="48"/>
      <c r="L238" s="48"/>
      <c r="M238" s="48"/>
      <c r="N238" s="48"/>
      <c r="O238" s="48"/>
      <c r="P238" s="48"/>
      <c r="Q238" s="48"/>
      <c r="R238" s="48"/>
      <c r="S238" s="48"/>
      <c r="T238" s="48"/>
      <c r="U238" s="48"/>
      <c r="V238" s="48"/>
      <c r="W238" s="48"/>
      <c r="X238" s="48"/>
      <c r="Y238" s="48"/>
      <c r="Z238" s="48"/>
      <c r="AA238" s="48"/>
      <c r="AB238" s="48"/>
      <c r="AC238" s="48"/>
      <c r="AD238" s="48"/>
      <c r="AE238" s="48"/>
      <c r="AF238" s="48"/>
      <c r="AG238" s="48"/>
      <c r="AH238" s="48"/>
      <c r="AI238" s="48"/>
      <c r="AJ238" s="48"/>
      <c r="AK238" s="48"/>
      <c r="AL238" s="48"/>
      <c r="AM238" s="48"/>
      <c r="AN238" s="48"/>
      <c r="AO238" s="48"/>
      <c r="AP238" s="48"/>
      <c r="AQ238" s="48"/>
      <c r="AR238" s="48"/>
      <c r="AS238" s="48"/>
      <c r="AT238" s="48"/>
      <c r="AU238" s="48"/>
      <c r="AV238" s="48"/>
      <c r="AW238" s="48"/>
      <c r="AX238" s="48"/>
      <c r="AY238" s="48"/>
      <c r="AZ238" s="48"/>
      <c r="BA238" s="48"/>
      <c r="BB238" s="48"/>
      <c r="BC238" s="48"/>
      <c r="BD238" s="48"/>
    </row>
    <row r="239" spans="1:56" x14ac:dyDescent="0.25">
      <c r="A239" s="48"/>
      <c r="B239" s="48"/>
      <c r="C239" s="48"/>
      <c r="D239" s="48"/>
      <c r="E239" s="48"/>
      <c r="F239" s="48"/>
      <c r="G239" s="48"/>
      <c r="H239" s="48"/>
      <c r="I239" s="48"/>
      <c r="J239" s="48"/>
      <c r="K239" s="48"/>
      <c r="L239" s="48"/>
      <c r="M239" s="48"/>
      <c r="N239" s="48"/>
      <c r="O239" s="48"/>
      <c r="P239" s="48"/>
      <c r="Q239" s="48"/>
      <c r="R239" s="48"/>
      <c r="S239" s="48"/>
      <c r="T239" s="48"/>
      <c r="U239" s="48"/>
      <c r="V239" s="48"/>
      <c r="W239" s="48"/>
      <c r="X239" s="48"/>
      <c r="Y239" s="48"/>
      <c r="Z239" s="48"/>
      <c r="AA239" s="48"/>
      <c r="AB239" s="48"/>
      <c r="AC239" s="48"/>
      <c r="AD239" s="48"/>
      <c r="AE239" s="48"/>
      <c r="AF239" s="48"/>
      <c r="AG239" s="48"/>
      <c r="AH239" s="48"/>
      <c r="AI239" s="48"/>
      <c r="AJ239" s="48"/>
      <c r="AK239" s="48"/>
      <c r="AL239" s="48"/>
      <c r="AM239" s="48"/>
      <c r="AN239" s="48"/>
      <c r="AO239" s="48"/>
      <c r="AP239" s="48"/>
      <c r="AQ239" s="48"/>
      <c r="AR239" s="48"/>
      <c r="AS239" s="48"/>
      <c r="AT239" s="48"/>
      <c r="AU239" s="48"/>
      <c r="AV239" s="48"/>
      <c r="AW239" s="48"/>
      <c r="AX239" s="48"/>
      <c r="AY239" s="48"/>
      <c r="AZ239" s="48"/>
      <c r="BA239" s="48"/>
      <c r="BB239" s="48"/>
      <c r="BC239" s="48"/>
      <c r="BD239" s="48"/>
    </row>
    <row r="240" spans="1:56" x14ac:dyDescent="0.25">
      <c r="A240" s="48"/>
      <c r="B240" s="48"/>
      <c r="C240" s="48"/>
      <c r="D240" s="48"/>
      <c r="E240" s="48"/>
      <c r="F240" s="48"/>
      <c r="G240" s="48"/>
      <c r="H240" s="48"/>
      <c r="I240" s="48"/>
      <c r="J240" s="48"/>
      <c r="K240" s="48"/>
      <c r="L240" s="48"/>
      <c r="M240" s="48"/>
      <c r="N240" s="48"/>
      <c r="O240" s="48"/>
      <c r="P240" s="48"/>
      <c r="Q240" s="48"/>
      <c r="R240" s="48"/>
      <c r="S240" s="48"/>
      <c r="T240" s="48"/>
      <c r="U240" s="48"/>
      <c r="V240" s="48"/>
      <c r="W240" s="48"/>
      <c r="X240" s="48"/>
      <c r="Y240" s="48"/>
      <c r="Z240" s="48"/>
      <c r="AA240" s="48"/>
      <c r="AB240" s="48"/>
      <c r="AC240" s="48"/>
      <c r="AD240" s="48"/>
      <c r="AE240" s="48"/>
      <c r="AF240" s="48"/>
      <c r="AG240" s="48"/>
      <c r="AH240" s="48"/>
      <c r="AI240" s="48"/>
      <c r="AJ240" s="48"/>
      <c r="AK240" s="48"/>
      <c r="AL240" s="48"/>
      <c r="AM240" s="48"/>
      <c r="AN240" s="48"/>
      <c r="AO240" s="48"/>
      <c r="AP240" s="48"/>
      <c r="AQ240" s="48"/>
      <c r="AR240" s="48"/>
      <c r="AS240" s="48"/>
      <c r="AT240" s="48"/>
      <c r="AU240" s="48"/>
      <c r="AV240" s="48"/>
      <c r="AW240" s="48"/>
      <c r="AX240" s="48"/>
      <c r="AY240" s="48"/>
      <c r="AZ240" s="48"/>
      <c r="BA240" s="48"/>
      <c r="BB240" s="48"/>
      <c r="BC240" s="48"/>
      <c r="BD240" s="48"/>
    </row>
    <row r="241" spans="1:56" x14ac:dyDescent="0.25">
      <c r="A241" s="48"/>
      <c r="B241" s="48"/>
      <c r="C241" s="48"/>
      <c r="D241" s="48"/>
      <c r="E241" s="48"/>
      <c r="F241" s="48"/>
      <c r="G241" s="48"/>
      <c r="H241" s="48"/>
      <c r="I241" s="48"/>
      <c r="J241" s="48"/>
      <c r="K241" s="48"/>
      <c r="L241" s="48"/>
      <c r="M241" s="48"/>
      <c r="N241" s="48"/>
      <c r="O241" s="48"/>
      <c r="P241" s="48"/>
      <c r="Q241" s="48"/>
      <c r="R241" s="48"/>
      <c r="S241" s="48"/>
      <c r="T241" s="48"/>
      <c r="U241" s="48"/>
      <c r="V241" s="48"/>
      <c r="W241" s="48"/>
      <c r="X241" s="48"/>
      <c r="Y241" s="48"/>
      <c r="Z241" s="48"/>
      <c r="AA241" s="48"/>
      <c r="AB241" s="48"/>
      <c r="AC241" s="48"/>
      <c r="AD241" s="48"/>
      <c r="AE241" s="48"/>
      <c r="AF241" s="48"/>
      <c r="AG241" s="48"/>
      <c r="AH241" s="48"/>
      <c r="AI241" s="48"/>
      <c r="AJ241" s="48"/>
      <c r="AK241" s="48"/>
      <c r="AL241" s="48"/>
      <c r="AM241" s="48"/>
      <c r="AN241" s="48"/>
      <c r="AO241" s="48"/>
      <c r="AP241" s="48"/>
      <c r="AQ241" s="48"/>
      <c r="AR241" s="48"/>
      <c r="AS241" s="48"/>
      <c r="AT241" s="48"/>
      <c r="AU241" s="48"/>
      <c r="AV241" s="48"/>
      <c r="AW241" s="48"/>
      <c r="AX241" s="48"/>
      <c r="AY241" s="48"/>
      <c r="AZ241" s="48"/>
      <c r="BA241" s="48"/>
      <c r="BB241" s="48"/>
      <c r="BC241" s="48"/>
      <c r="BD241" s="48"/>
    </row>
    <row r="242" spans="1:56" x14ac:dyDescent="0.25">
      <c r="A242" s="48"/>
      <c r="B242" s="48"/>
      <c r="C242" s="48"/>
      <c r="D242" s="48"/>
      <c r="E242" s="48"/>
      <c r="F242" s="48"/>
      <c r="G242" s="48"/>
      <c r="H242" s="48"/>
      <c r="I242" s="48"/>
      <c r="J242" s="48"/>
      <c r="K242" s="48"/>
      <c r="L242" s="48"/>
      <c r="M242" s="48"/>
      <c r="N242" s="48"/>
      <c r="O242" s="48"/>
      <c r="P242" s="48"/>
      <c r="Q242" s="48"/>
      <c r="R242" s="48"/>
      <c r="S242" s="48"/>
      <c r="T242" s="48"/>
      <c r="U242" s="48"/>
      <c r="V242" s="48"/>
      <c r="W242" s="48"/>
      <c r="X242" s="48"/>
      <c r="Y242" s="48"/>
      <c r="Z242" s="48"/>
      <c r="AA242" s="48"/>
      <c r="AB242" s="48"/>
      <c r="AC242" s="48"/>
      <c r="AD242" s="48"/>
      <c r="AE242" s="48"/>
      <c r="AF242" s="48"/>
      <c r="AG242" s="48"/>
      <c r="AH242" s="48"/>
      <c r="AI242" s="48"/>
      <c r="AJ242" s="48"/>
      <c r="AK242" s="48"/>
      <c r="AL242" s="48"/>
      <c r="AM242" s="48"/>
      <c r="AN242" s="48"/>
      <c r="AO242" s="48"/>
      <c r="AP242" s="48"/>
      <c r="AQ242" s="48"/>
      <c r="AR242" s="48"/>
      <c r="AS242" s="48"/>
      <c r="AT242" s="48"/>
      <c r="AU242" s="48"/>
      <c r="AV242" s="48"/>
      <c r="AW242" s="48"/>
      <c r="AX242" s="48"/>
      <c r="AY242" s="48"/>
      <c r="AZ242" s="48"/>
      <c r="BA242" s="48"/>
      <c r="BB242" s="48"/>
      <c r="BC242" s="48"/>
      <c r="BD242" s="48"/>
    </row>
    <row r="243" spans="1:56" x14ac:dyDescent="0.25">
      <c r="A243" s="48"/>
      <c r="B243" s="48"/>
      <c r="C243" s="48"/>
      <c r="D243" s="48"/>
      <c r="E243" s="48"/>
      <c r="F243" s="48"/>
      <c r="G243" s="48"/>
      <c r="H243" s="48"/>
      <c r="I243" s="48"/>
      <c r="J243" s="48"/>
      <c r="K243" s="48"/>
      <c r="L243" s="48"/>
      <c r="M243" s="48"/>
      <c r="N243" s="48"/>
      <c r="O243" s="48"/>
      <c r="P243" s="48"/>
      <c r="Q243" s="48"/>
      <c r="R243" s="48"/>
      <c r="S243" s="48"/>
      <c r="T243" s="48"/>
      <c r="U243" s="48"/>
      <c r="V243" s="48"/>
      <c r="W243" s="48"/>
      <c r="X243" s="48"/>
      <c r="Y243" s="48"/>
      <c r="Z243" s="48"/>
      <c r="AA243" s="48"/>
      <c r="AB243" s="48"/>
      <c r="AC243" s="48"/>
      <c r="AD243" s="48"/>
      <c r="AE243" s="48"/>
      <c r="AF243" s="48"/>
      <c r="AG243" s="48"/>
      <c r="AH243" s="48"/>
      <c r="AI243" s="48"/>
      <c r="AJ243" s="48"/>
      <c r="AK243" s="48"/>
      <c r="AL243" s="48"/>
      <c r="AM243" s="48"/>
      <c r="AN243" s="48"/>
      <c r="AO243" s="48"/>
      <c r="AP243" s="48"/>
      <c r="AQ243" s="48"/>
      <c r="AR243" s="48"/>
      <c r="AS243" s="48"/>
      <c r="AT243" s="48"/>
      <c r="AU243" s="48"/>
      <c r="AV243" s="48"/>
      <c r="AW243" s="48"/>
      <c r="AX243" s="48"/>
      <c r="AY243" s="48"/>
      <c r="AZ243" s="48"/>
      <c r="BA243" s="48"/>
      <c r="BB243" s="48"/>
      <c r="BC243" s="48"/>
      <c r="BD243" s="48"/>
    </row>
    <row r="244" spans="1:56" x14ac:dyDescent="0.25">
      <c r="A244" s="48"/>
      <c r="B244" s="48"/>
      <c r="C244" s="48"/>
      <c r="D244" s="48"/>
      <c r="E244" s="48"/>
      <c r="F244" s="48"/>
      <c r="G244" s="48"/>
      <c r="H244" s="48"/>
      <c r="I244" s="48"/>
      <c r="J244" s="48"/>
      <c r="K244" s="48"/>
      <c r="L244" s="48"/>
      <c r="M244" s="48"/>
      <c r="N244" s="48"/>
      <c r="O244" s="48"/>
      <c r="P244" s="48"/>
      <c r="Q244" s="48"/>
      <c r="R244" s="48"/>
      <c r="S244" s="48"/>
      <c r="T244" s="48"/>
      <c r="U244" s="48"/>
      <c r="V244" s="48"/>
      <c r="W244" s="48"/>
      <c r="X244" s="48"/>
      <c r="Y244" s="48"/>
      <c r="Z244" s="48"/>
      <c r="AA244" s="48"/>
      <c r="AB244" s="48"/>
      <c r="AC244" s="48"/>
      <c r="AD244" s="48"/>
      <c r="AE244" s="48"/>
      <c r="AF244" s="48"/>
      <c r="AG244" s="48"/>
      <c r="AH244" s="48"/>
      <c r="AI244" s="48"/>
      <c r="AJ244" s="48"/>
      <c r="AK244" s="48"/>
      <c r="AL244" s="48"/>
      <c r="AM244" s="48"/>
      <c r="AN244" s="48"/>
      <c r="AO244" s="48"/>
      <c r="AP244" s="48"/>
      <c r="AQ244" s="48"/>
      <c r="AR244" s="48"/>
      <c r="AS244" s="48"/>
      <c r="AT244" s="48"/>
      <c r="AU244" s="48"/>
      <c r="AV244" s="48"/>
      <c r="AW244" s="48"/>
      <c r="AX244" s="48"/>
      <c r="AY244" s="48"/>
      <c r="AZ244" s="48"/>
      <c r="BA244" s="48"/>
      <c r="BB244" s="48"/>
      <c r="BC244" s="48"/>
      <c r="BD244" s="48"/>
    </row>
    <row r="245" spans="1:56" x14ac:dyDescent="0.25">
      <c r="A245" s="48"/>
      <c r="B245" s="48"/>
      <c r="C245" s="48"/>
      <c r="D245" s="48"/>
      <c r="E245" s="48"/>
      <c r="F245" s="48"/>
      <c r="G245" s="48"/>
      <c r="H245" s="48"/>
      <c r="I245" s="48"/>
      <c r="J245" s="48"/>
      <c r="K245" s="48"/>
      <c r="L245" s="48"/>
      <c r="M245" s="48"/>
      <c r="N245" s="48"/>
      <c r="O245" s="48"/>
      <c r="P245" s="48"/>
      <c r="Q245" s="48"/>
      <c r="R245" s="48"/>
      <c r="S245" s="48"/>
      <c r="T245" s="48"/>
      <c r="U245" s="48"/>
      <c r="V245" s="48"/>
      <c r="W245" s="48"/>
      <c r="X245" s="48"/>
      <c r="Y245" s="48"/>
      <c r="Z245" s="48"/>
      <c r="AA245" s="48"/>
      <c r="AB245" s="48"/>
      <c r="AC245" s="48"/>
      <c r="AD245" s="48"/>
      <c r="AE245" s="48"/>
      <c r="AF245" s="48"/>
      <c r="AG245" s="48"/>
      <c r="AH245" s="48"/>
      <c r="AI245" s="48"/>
      <c r="AJ245" s="48"/>
      <c r="AK245" s="48"/>
      <c r="AL245" s="48"/>
      <c r="AM245" s="48"/>
      <c r="AN245" s="48"/>
      <c r="AO245" s="48"/>
      <c r="AP245" s="48"/>
      <c r="AQ245" s="48"/>
      <c r="AR245" s="48"/>
      <c r="AS245" s="48"/>
      <c r="AT245" s="48"/>
      <c r="AU245" s="48"/>
      <c r="AV245" s="48"/>
      <c r="AW245" s="48"/>
      <c r="AX245" s="48"/>
      <c r="AY245" s="48"/>
      <c r="AZ245" s="48"/>
      <c r="BA245" s="48"/>
      <c r="BB245" s="48"/>
      <c r="BC245" s="48"/>
      <c r="BD245" s="48"/>
    </row>
    <row r="246" spans="1:56" x14ac:dyDescent="0.25">
      <c r="A246" s="48"/>
      <c r="B246" s="48"/>
      <c r="C246" s="48"/>
      <c r="D246" s="48"/>
      <c r="E246" s="48"/>
      <c r="F246" s="48"/>
      <c r="G246" s="48"/>
      <c r="H246" s="48"/>
      <c r="I246" s="48"/>
      <c r="J246" s="48"/>
      <c r="K246" s="48"/>
      <c r="L246" s="48"/>
      <c r="M246" s="48"/>
      <c r="N246" s="48"/>
      <c r="O246" s="48"/>
      <c r="P246" s="48"/>
      <c r="Q246" s="48"/>
      <c r="R246" s="48"/>
      <c r="S246" s="48"/>
      <c r="T246" s="48"/>
      <c r="U246" s="48"/>
      <c r="V246" s="48"/>
      <c r="W246" s="48"/>
      <c r="X246" s="48"/>
      <c r="Y246" s="48"/>
      <c r="Z246" s="48"/>
      <c r="AA246" s="48"/>
      <c r="AB246" s="48"/>
      <c r="AC246" s="48"/>
      <c r="AD246" s="48"/>
      <c r="AE246" s="48"/>
      <c r="AF246" s="48"/>
      <c r="AG246" s="48"/>
      <c r="AH246" s="48"/>
      <c r="AI246" s="48"/>
      <c r="AJ246" s="48"/>
      <c r="AK246" s="48"/>
      <c r="AL246" s="48"/>
      <c r="AM246" s="48"/>
      <c r="AN246" s="48"/>
      <c r="AO246" s="48"/>
      <c r="AP246" s="48"/>
      <c r="AQ246" s="48"/>
      <c r="AR246" s="48"/>
      <c r="AS246" s="48"/>
      <c r="AT246" s="48"/>
      <c r="AU246" s="48"/>
      <c r="AV246" s="48"/>
      <c r="AW246" s="48"/>
      <c r="AX246" s="48"/>
      <c r="AY246" s="48"/>
      <c r="AZ246" s="48"/>
      <c r="BA246" s="48"/>
      <c r="BB246" s="48"/>
      <c r="BC246" s="48"/>
      <c r="BD246" s="48"/>
    </row>
    <row r="247" spans="1:56" x14ac:dyDescent="0.25">
      <c r="A247" s="48"/>
      <c r="B247" s="48"/>
      <c r="C247" s="48"/>
      <c r="D247" s="48"/>
      <c r="E247" s="48"/>
      <c r="F247" s="48"/>
      <c r="G247" s="48"/>
      <c r="H247" s="48"/>
      <c r="I247" s="48"/>
      <c r="J247" s="48"/>
      <c r="K247" s="48"/>
      <c r="L247" s="48"/>
      <c r="M247" s="48"/>
      <c r="N247" s="48"/>
      <c r="O247" s="48"/>
      <c r="P247" s="48"/>
      <c r="Q247" s="48"/>
      <c r="R247" s="48"/>
      <c r="S247" s="48"/>
      <c r="T247" s="48"/>
      <c r="U247" s="48"/>
      <c r="V247" s="48"/>
      <c r="W247" s="48"/>
      <c r="X247" s="48"/>
      <c r="Y247" s="48"/>
      <c r="Z247" s="48"/>
      <c r="AA247" s="48"/>
      <c r="AB247" s="48"/>
      <c r="AC247" s="48"/>
      <c r="AD247" s="48"/>
      <c r="AE247" s="48"/>
      <c r="AF247" s="48"/>
      <c r="AG247" s="48"/>
      <c r="AH247" s="48"/>
      <c r="AI247" s="48"/>
      <c r="AJ247" s="48"/>
      <c r="AK247" s="48"/>
      <c r="AL247" s="48"/>
      <c r="AM247" s="48"/>
      <c r="AN247" s="48"/>
      <c r="AO247" s="48"/>
      <c r="AP247" s="48"/>
      <c r="AQ247" s="48"/>
      <c r="AR247" s="48"/>
      <c r="AS247" s="48"/>
      <c r="AT247" s="48"/>
      <c r="AU247" s="48"/>
      <c r="AV247" s="48"/>
      <c r="AW247" s="48"/>
      <c r="AX247" s="48"/>
      <c r="AY247" s="48"/>
      <c r="AZ247" s="48"/>
      <c r="BA247" s="48"/>
      <c r="BB247" s="48"/>
      <c r="BC247" s="48"/>
      <c r="BD247" s="48"/>
    </row>
    <row r="248" spans="1:56" x14ac:dyDescent="0.25">
      <c r="A248" s="48"/>
      <c r="B248" s="48"/>
      <c r="C248" s="48"/>
      <c r="D248" s="48"/>
      <c r="E248" s="48"/>
      <c r="F248" s="48"/>
      <c r="G248" s="48"/>
      <c r="H248" s="48"/>
      <c r="I248" s="48"/>
      <c r="J248" s="48"/>
      <c r="K248" s="48"/>
      <c r="L248" s="48"/>
      <c r="M248" s="48"/>
      <c r="N248" s="48"/>
      <c r="O248" s="48"/>
      <c r="P248" s="48"/>
      <c r="Q248" s="48"/>
      <c r="R248" s="48"/>
      <c r="S248" s="48"/>
      <c r="T248" s="48"/>
      <c r="U248" s="48"/>
      <c r="V248" s="48"/>
      <c r="W248" s="48"/>
      <c r="X248" s="48"/>
      <c r="Y248" s="48"/>
      <c r="Z248" s="48"/>
      <c r="AA248" s="48"/>
      <c r="AB248" s="48"/>
      <c r="AC248" s="48"/>
      <c r="AD248" s="48"/>
      <c r="AE248" s="48"/>
      <c r="AF248" s="48"/>
      <c r="AG248" s="48"/>
      <c r="AH248" s="48"/>
      <c r="AI248" s="48"/>
      <c r="AJ248" s="48"/>
      <c r="AK248" s="48"/>
      <c r="AL248" s="48"/>
      <c r="AM248" s="48"/>
      <c r="AN248" s="48"/>
      <c r="AO248" s="48"/>
      <c r="AP248" s="48"/>
      <c r="AQ248" s="48"/>
      <c r="AR248" s="48"/>
      <c r="AS248" s="48"/>
      <c r="AT248" s="48"/>
      <c r="AU248" s="48"/>
      <c r="AV248" s="48"/>
      <c r="AW248" s="48"/>
      <c r="AX248" s="48"/>
      <c r="AY248" s="48"/>
      <c r="AZ248" s="48"/>
      <c r="BA248" s="48"/>
      <c r="BB248" s="48"/>
      <c r="BC248" s="48"/>
      <c r="BD248" s="48"/>
    </row>
    <row r="249" spans="1:56" x14ac:dyDescent="0.25">
      <c r="A249" s="48"/>
      <c r="B249" s="48"/>
      <c r="C249" s="48"/>
      <c r="D249" s="48"/>
      <c r="E249" s="48"/>
      <c r="F249" s="48"/>
      <c r="G249" s="48"/>
      <c r="H249" s="48"/>
      <c r="I249" s="48"/>
      <c r="J249" s="48"/>
      <c r="K249" s="48"/>
      <c r="L249" s="48"/>
      <c r="M249" s="48"/>
      <c r="N249" s="48"/>
      <c r="O249" s="48"/>
      <c r="P249" s="48"/>
      <c r="Q249" s="48"/>
      <c r="R249" s="48"/>
      <c r="S249" s="48"/>
      <c r="T249" s="48"/>
      <c r="U249" s="48"/>
      <c r="V249" s="48"/>
      <c r="W249" s="48"/>
      <c r="X249" s="48"/>
      <c r="Y249" s="48"/>
      <c r="Z249" s="48"/>
      <c r="AA249" s="48"/>
      <c r="AB249" s="48"/>
      <c r="AC249" s="48"/>
      <c r="AD249" s="48"/>
      <c r="AE249" s="48"/>
      <c r="AF249" s="48"/>
      <c r="AG249" s="48"/>
      <c r="AH249" s="48"/>
      <c r="AI249" s="48"/>
      <c r="AJ249" s="48"/>
      <c r="AK249" s="48"/>
      <c r="AL249" s="48"/>
      <c r="AM249" s="48"/>
      <c r="AN249" s="48"/>
      <c r="AO249" s="48"/>
      <c r="AP249" s="48"/>
      <c r="AQ249" s="48"/>
      <c r="AR249" s="48"/>
      <c r="AS249" s="48"/>
      <c r="AT249" s="48"/>
      <c r="AU249" s="48"/>
      <c r="AV249" s="48"/>
      <c r="AW249" s="48"/>
      <c r="AX249" s="48"/>
      <c r="AY249" s="48"/>
      <c r="AZ249" s="48"/>
      <c r="BA249" s="48"/>
      <c r="BB249" s="48"/>
      <c r="BC249" s="48"/>
      <c r="BD249" s="48"/>
    </row>
    <row r="250" spans="1:56" x14ac:dyDescent="0.25">
      <c r="A250" s="48"/>
      <c r="B250" s="48"/>
      <c r="C250" s="48"/>
      <c r="D250" s="48"/>
      <c r="E250" s="48"/>
      <c r="F250" s="48"/>
      <c r="G250" s="48"/>
      <c r="H250" s="48"/>
      <c r="I250" s="48"/>
      <c r="J250" s="48"/>
      <c r="K250" s="48"/>
      <c r="L250" s="48"/>
      <c r="M250" s="48"/>
      <c r="N250" s="48"/>
      <c r="O250" s="48"/>
      <c r="P250" s="48"/>
      <c r="Q250" s="48"/>
      <c r="R250" s="48"/>
      <c r="S250" s="48"/>
      <c r="T250" s="48"/>
      <c r="U250" s="48"/>
      <c r="V250" s="48"/>
      <c r="W250" s="48"/>
      <c r="X250" s="48"/>
      <c r="Y250" s="48"/>
      <c r="Z250" s="48"/>
      <c r="AA250" s="48"/>
      <c r="AB250" s="48"/>
      <c r="AC250" s="48"/>
      <c r="AD250" s="48"/>
      <c r="AE250" s="48"/>
      <c r="AF250" s="48"/>
      <c r="AG250" s="48"/>
      <c r="AH250" s="48"/>
      <c r="AI250" s="48"/>
      <c r="AJ250" s="48"/>
      <c r="AK250" s="48"/>
      <c r="AL250" s="48"/>
      <c r="AM250" s="48"/>
      <c r="AN250" s="48"/>
      <c r="AO250" s="48"/>
      <c r="AP250" s="48"/>
      <c r="AQ250" s="48"/>
      <c r="AR250" s="48"/>
      <c r="AS250" s="48"/>
      <c r="AT250" s="48"/>
      <c r="AU250" s="48"/>
      <c r="AV250" s="48"/>
      <c r="AW250" s="48"/>
      <c r="AX250" s="48"/>
      <c r="AY250" s="48"/>
      <c r="AZ250" s="48"/>
      <c r="BA250" s="48"/>
      <c r="BB250" s="48"/>
      <c r="BC250" s="48"/>
      <c r="BD250" s="48"/>
    </row>
    <row r="251" spans="1:56" x14ac:dyDescent="0.25">
      <c r="A251" s="48"/>
      <c r="B251" s="48"/>
      <c r="C251" s="48"/>
      <c r="D251" s="48"/>
      <c r="E251" s="48"/>
      <c r="F251" s="48"/>
      <c r="G251" s="48"/>
      <c r="H251" s="48"/>
      <c r="I251" s="48"/>
      <c r="J251" s="48"/>
      <c r="K251" s="48"/>
      <c r="L251" s="48"/>
      <c r="M251" s="48"/>
      <c r="N251" s="48"/>
      <c r="O251" s="48"/>
      <c r="P251" s="48"/>
      <c r="Q251" s="48"/>
      <c r="R251" s="48"/>
      <c r="S251" s="48"/>
      <c r="T251" s="48"/>
      <c r="U251" s="48"/>
      <c r="V251" s="48"/>
      <c r="W251" s="48"/>
      <c r="X251" s="48"/>
      <c r="Y251" s="48"/>
      <c r="Z251" s="48"/>
      <c r="AA251" s="48"/>
      <c r="AB251" s="48"/>
      <c r="AC251" s="48"/>
      <c r="AD251" s="48"/>
      <c r="AE251" s="48"/>
      <c r="AF251" s="48"/>
      <c r="AG251" s="48"/>
      <c r="AH251" s="48"/>
      <c r="AI251" s="48"/>
      <c r="AJ251" s="48"/>
      <c r="AK251" s="48"/>
      <c r="AL251" s="48"/>
      <c r="AM251" s="48"/>
      <c r="AN251" s="48"/>
      <c r="AO251" s="48"/>
      <c r="AP251" s="48"/>
      <c r="AQ251" s="48"/>
      <c r="AR251" s="48"/>
      <c r="AS251" s="48"/>
      <c r="AT251" s="48"/>
      <c r="AU251" s="48"/>
      <c r="AV251" s="48"/>
      <c r="AW251" s="48"/>
      <c r="AX251" s="48"/>
      <c r="AY251" s="48"/>
      <c r="AZ251" s="48"/>
      <c r="BA251" s="48"/>
      <c r="BB251" s="48"/>
      <c r="BC251" s="48"/>
      <c r="BD251" s="48"/>
    </row>
    <row r="252" spans="1:56" x14ac:dyDescent="0.25">
      <c r="A252" s="48"/>
      <c r="B252" s="48"/>
      <c r="C252" s="48"/>
      <c r="D252" s="48"/>
      <c r="E252" s="48"/>
      <c r="F252" s="48"/>
      <c r="G252" s="48"/>
      <c r="H252" s="48"/>
      <c r="I252" s="48"/>
      <c r="J252" s="48"/>
      <c r="K252" s="48"/>
      <c r="L252" s="48"/>
      <c r="M252" s="48"/>
      <c r="N252" s="48"/>
      <c r="O252" s="48"/>
      <c r="P252" s="48"/>
      <c r="Q252" s="48"/>
      <c r="R252" s="48"/>
      <c r="S252" s="48"/>
      <c r="T252" s="48"/>
      <c r="U252" s="48"/>
      <c r="V252" s="48"/>
      <c r="W252" s="48"/>
      <c r="X252" s="48"/>
      <c r="Y252" s="48"/>
      <c r="Z252" s="48"/>
      <c r="AA252" s="48"/>
      <c r="AB252" s="48"/>
      <c r="AC252" s="48"/>
      <c r="AD252" s="48"/>
      <c r="AE252" s="48"/>
      <c r="AF252" s="48"/>
      <c r="AG252" s="48"/>
      <c r="AH252" s="48"/>
      <c r="AI252" s="48"/>
      <c r="AJ252" s="48"/>
      <c r="AK252" s="48"/>
      <c r="AL252" s="48"/>
      <c r="AM252" s="48"/>
      <c r="AN252" s="48"/>
      <c r="AO252" s="48"/>
      <c r="AP252" s="48"/>
      <c r="AQ252" s="48"/>
      <c r="AR252" s="48"/>
      <c r="AS252" s="48"/>
      <c r="AT252" s="48"/>
      <c r="AU252" s="48"/>
      <c r="AV252" s="48"/>
      <c r="AW252" s="48"/>
      <c r="AX252" s="48"/>
      <c r="AY252" s="48"/>
      <c r="AZ252" s="48"/>
      <c r="BA252" s="48"/>
      <c r="BB252" s="48"/>
      <c r="BC252" s="48"/>
      <c r="BD252" s="48"/>
    </row>
    <row r="253" spans="1:56" x14ac:dyDescent="0.25">
      <c r="A253" s="48"/>
      <c r="B253" s="48"/>
      <c r="C253" s="48"/>
      <c r="D253" s="48"/>
      <c r="E253" s="48"/>
      <c r="F253" s="48"/>
      <c r="G253" s="48"/>
      <c r="H253" s="48"/>
      <c r="I253" s="48"/>
      <c r="J253" s="48"/>
      <c r="K253" s="48"/>
      <c r="L253" s="48"/>
      <c r="M253" s="48"/>
      <c r="N253" s="48"/>
      <c r="O253" s="48"/>
      <c r="P253" s="48"/>
      <c r="Q253" s="48"/>
      <c r="R253" s="48"/>
      <c r="S253" s="48"/>
      <c r="T253" s="48"/>
      <c r="U253" s="48"/>
      <c r="V253" s="48"/>
      <c r="W253" s="48"/>
      <c r="X253" s="48"/>
      <c r="Y253" s="48"/>
      <c r="Z253" s="48"/>
      <c r="AA253" s="48"/>
      <c r="AB253" s="48"/>
      <c r="AC253" s="48"/>
      <c r="AD253" s="48"/>
      <c r="AE253" s="48"/>
      <c r="AF253" s="48"/>
      <c r="AG253" s="48"/>
      <c r="AH253" s="48"/>
      <c r="AI253" s="48"/>
      <c r="AJ253" s="48"/>
      <c r="AK253" s="48"/>
      <c r="AL253" s="48"/>
      <c r="AM253" s="48"/>
      <c r="AN253" s="48"/>
      <c r="AO253" s="48"/>
      <c r="AP253" s="48"/>
      <c r="AQ253" s="48"/>
      <c r="AR253" s="48"/>
      <c r="AS253" s="48"/>
      <c r="AT253" s="48"/>
      <c r="AU253" s="48"/>
      <c r="AV253" s="48"/>
      <c r="AW253" s="48"/>
      <c r="AX253" s="48"/>
      <c r="AY253" s="48"/>
      <c r="AZ253" s="48"/>
      <c r="BA253" s="48"/>
      <c r="BB253" s="48"/>
      <c r="BC253" s="48"/>
      <c r="BD253" s="48"/>
    </row>
    <row r="254" spans="1:56" x14ac:dyDescent="0.25">
      <c r="A254" s="48"/>
      <c r="B254" s="48"/>
      <c r="C254" s="48"/>
      <c r="D254" s="48"/>
      <c r="E254" s="48"/>
      <c r="F254" s="48"/>
      <c r="G254" s="48"/>
      <c r="H254" s="48"/>
      <c r="I254" s="48"/>
      <c r="J254" s="48"/>
      <c r="K254" s="48"/>
      <c r="L254" s="48"/>
      <c r="M254" s="48"/>
      <c r="N254" s="48"/>
      <c r="O254" s="48"/>
      <c r="P254" s="48"/>
      <c r="Q254" s="48"/>
      <c r="R254" s="48"/>
      <c r="S254" s="48"/>
      <c r="T254" s="48"/>
      <c r="U254" s="48"/>
      <c r="V254" s="48"/>
      <c r="W254" s="48"/>
      <c r="X254" s="48"/>
      <c r="Y254" s="48"/>
      <c r="Z254" s="48"/>
      <c r="AA254" s="48"/>
      <c r="AB254" s="48"/>
      <c r="AC254" s="48"/>
      <c r="AD254" s="48"/>
      <c r="AE254" s="48"/>
      <c r="AF254" s="48"/>
      <c r="AG254" s="48"/>
      <c r="AH254" s="48"/>
      <c r="AI254" s="48"/>
      <c r="AJ254" s="48"/>
      <c r="AK254" s="48"/>
      <c r="AL254" s="48"/>
      <c r="AM254" s="48"/>
      <c r="AN254" s="48"/>
      <c r="AO254" s="48"/>
      <c r="AP254" s="48"/>
      <c r="AQ254" s="48"/>
      <c r="AR254" s="48"/>
      <c r="AS254" s="48"/>
      <c r="AT254" s="48"/>
      <c r="AU254" s="48"/>
      <c r="AV254" s="48"/>
      <c r="AW254" s="48"/>
      <c r="AX254" s="48"/>
      <c r="AY254" s="48"/>
      <c r="AZ254" s="48"/>
      <c r="BA254" s="48"/>
      <c r="BB254" s="48"/>
      <c r="BC254" s="48"/>
      <c r="BD254" s="48"/>
    </row>
    <row r="255" spans="1:56" x14ac:dyDescent="0.25">
      <c r="A255" s="48"/>
      <c r="B255" s="48"/>
      <c r="C255" s="48"/>
      <c r="D255" s="48"/>
      <c r="E255" s="48"/>
      <c r="F255" s="48"/>
      <c r="G255" s="48"/>
      <c r="H255" s="48"/>
      <c r="I255" s="48"/>
      <c r="J255" s="48"/>
      <c r="K255" s="48"/>
      <c r="L255" s="48"/>
      <c r="M255" s="48"/>
      <c r="N255" s="48"/>
      <c r="O255" s="48"/>
      <c r="P255" s="48"/>
      <c r="Q255" s="48"/>
      <c r="R255" s="48"/>
      <c r="S255" s="48"/>
      <c r="T255" s="48"/>
      <c r="U255" s="48"/>
      <c r="V255" s="48"/>
      <c r="W255" s="48"/>
      <c r="X255" s="48"/>
      <c r="Y255" s="48"/>
      <c r="Z255" s="48"/>
      <c r="AA255" s="48"/>
      <c r="AB255" s="48"/>
      <c r="AC255" s="48"/>
      <c r="AD255" s="48"/>
      <c r="AE255" s="48"/>
      <c r="AF255" s="48"/>
      <c r="AG255" s="48"/>
      <c r="AH255" s="48"/>
      <c r="AI255" s="48"/>
      <c r="AJ255" s="48"/>
      <c r="AK255" s="48"/>
      <c r="AL255" s="48"/>
      <c r="AM255" s="48"/>
      <c r="AN255" s="48"/>
      <c r="AO255" s="48"/>
      <c r="AP255" s="48"/>
      <c r="AQ255" s="48"/>
      <c r="AR255" s="48"/>
      <c r="AS255" s="48"/>
      <c r="AT255" s="48"/>
      <c r="AU255" s="48"/>
      <c r="AV255" s="48"/>
      <c r="AW255" s="48"/>
      <c r="AX255" s="48"/>
      <c r="AY255" s="48"/>
      <c r="AZ255" s="48"/>
      <c r="BA255" s="48"/>
      <c r="BB255" s="48"/>
      <c r="BC255" s="48"/>
      <c r="BD255" s="48"/>
    </row>
    <row r="256" spans="1:56" x14ac:dyDescent="0.25">
      <c r="A256" s="48"/>
      <c r="B256" s="48"/>
      <c r="C256" s="48"/>
      <c r="D256" s="48"/>
      <c r="E256" s="48"/>
      <c r="F256" s="48"/>
      <c r="G256" s="48"/>
      <c r="H256" s="48"/>
      <c r="I256" s="48"/>
      <c r="J256" s="48"/>
      <c r="K256" s="48"/>
      <c r="L256" s="48"/>
      <c r="M256" s="48"/>
      <c r="N256" s="48"/>
      <c r="O256" s="48"/>
      <c r="P256" s="48"/>
      <c r="Q256" s="48"/>
      <c r="R256" s="48"/>
      <c r="S256" s="48"/>
      <c r="T256" s="48"/>
      <c r="U256" s="48"/>
      <c r="V256" s="48"/>
      <c r="W256" s="48"/>
      <c r="X256" s="48"/>
      <c r="Y256" s="48"/>
      <c r="Z256" s="48"/>
      <c r="AA256" s="48"/>
      <c r="AB256" s="48"/>
      <c r="AC256" s="48"/>
      <c r="AD256" s="48"/>
      <c r="AE256" s="48"/>
      <c r="AF256" s="48"/>
      <c r="AG256" s="48"/>
      <c r="AH256" s="48"/>
      <c r="AI256" s="48"/>
      <c r="AJ256" s="48"/>
      <c r="AK256" s="48"/>
      <c r="AL256" s="48"/>
      <c r="AM256" s="48"/>
      <c r="AN256" s="48"/>
      <c r="AO256" s="48"/>
      <c r="AP256" s="48"/>
      <c r="AQ256" s="48"/>
      <c r="AR256" s="48"/>
      <c r="AS256" s="48"/>
      <c r="AT256" s="48"/>
      <c r="AU256" s="48"/>
      <c r="AV256" s="48"/>
      <c r="AW256" s="48"/>
      <c r="AX256" s="48"/>
      <c r="AY256" s="48"/>
      <c r="AZ256" s="48"/>
      <c r="BA256" s="48"/>
      <c r="BB256" s="48"/>
      <c r="BC256" s="48"/>
      <c r="BD256" s="48"/>
    </row>
    <row r="257" spans="1:56" x14ac:dyDescent="0.25">
      <c r="A257" s="48"/>
      <c r="B257" s="48"/>
      <c r="C257" s="48"/>
      <c r="D257" s="48"/>
      <c r="E257" s="48"/>
      <c r="F257" s="48"/>
      <c r="G257" s="48"/>
      <c r="H257" s="48"/>
      <c r="I257" s="48"/>
      <c r="J257" s="48"/>
      <c r="K257" s="48"/>
      <c r="L257" s="48"/>
      <c r="M257" s="48"/>
      <c r="N257" s="48"/>
      <c r="O257" s="48"/>
      <c r="P257" s="48"/>
      <c r="Q257" s="48"/>
      <c r="R257" s="48"/>
      <c r="S257" s="48"/>
      <c r="T257" s="48"/>
      <c r="U257" s="48"/>
      <c r="V257" s="48"/>
      <c r="W257" s="48"/>
      <c r="X257" s="48"/>
      <c r="Y257" s="48"/>
      <c r="Z257" s="48"/>
      <c r="AA257" s="48"/>
      <c r="AB257" s="48"/>
      <c r="AC257" s="48"/>
      <c r="AD257" s="48"/>
      <c r="AE257" s="48"/>
      <c r="AF257" s="48"/>
      <c r="AG257" s="48"/>
      <c r="AH257" s="48"/>
      <c r="AI257" s="48"/>
      <c r="AJ257" s="48"/>
      <c r="AK257" s="48"/>
      <c r="AL257" s="48"/>
      <c r="AM257" s="48"/>
      <c r="AN257" s="48"/>
      <c r="AO257" s="48"/>
      <c r="AP257" s="48"/>
      <c r="AQ257" s="48"/>
      <c r="AR257" s="48"/>
      <c r="AS257" s="48"/>
      <c r="AT257" s="48"/>
      <c r="AU257" s="48"/>
      <c r="AV257" s="48"/>
      <c r="AW257" s="48"/>
      <c r="AX257" s="48"/>
      <c r="AY257" s="48"/>
      <c r="AZ257" s="48"/>
      <c r="BA257" s="48"/>
      <c r="BB257" s="48"/>
      <c r="BC257" s="48"/>
      <c r="BD257" s="48"/>
    </row>
    <row r="258" spans="1:56" x14ac:dyDescent="0.25">
      <c r="A258" s="48"/>
      <c r="B258" s="48"/>
      <c r="C258" s="48"/>
      <c r="D258" s="48"/>
      <c r="E258" s="48"/>
      <c r="F258" s="48"/>
      <c r="G258" s="48"/>
      <c r="H258" s="48"/>
      <c r="I258" s="48"/>
      <c r="J258" s="48"/>
      <c r="K258" s="48"/>
      <c r="L258" s="48"/>
      <c r="M258" s="48"/>
      <c r="N258" s="48"/>
      <c r="O258" s="48"/>
      <c r="P258" s="48"/>
      <c r="Q258" s="48"/>
      <c r="R258" s="48"/>
      <c r="S258" s="48"/>
      <c r="T258" s="48"/>
      <c r="U258" s="48"/>
      <c r="V258" s="48"/>
      <c r="W258" s="48"/>
      <c r="X258" s="48"/>
      <c r="Y258" s="48"/>
      <c r="Z258" s="48"/>
      <c r="AA258" s="48"/>
      <c r="AB258" s="48"/>
      <c r="AC258" s="48"/>
      <c r="AD258" s="48"/>
      <c r="AE258" s="48"/>
      <c r="AF258" s="48"/>
      <c r="AG258" s="48"/>
      <c r="AH258" s="48"/>
      <c r="AI258" s="48"/>
      <c r="AJ258" s="48"/>
      <c r="AK258" s="48"/>
      <c r="AL258" s="48"/>
      <c r="AM258" s="48"/>
      <c r="AN258" s="48"/>
      <c r="AO258" s="48"/>
      <c r="AP258" s="48"/>
      <c r="AQ258" s="48"/>
      <c r="AR258" s="48"/>
      <c r="AS258" s="48"/>
      <c r="AT258" s="48"/>
      <c r="AU258" s="48"/>
      <c r="AV258" s="48"/>
      <c r="AW258" s="48"/>
      <c r="AX258" s="48"/>
      <c r="AY258" s="48"/>
      <c r="AZ258" s="48"/>
      <c r="BA258" s="48"/>
      <c r="BB258" s="48"/>
      <c r="BC258" s="48"/>
      <c r="BD258" s="48"/>
    </row>
    <row r="259" spans="1:56" x14ac:dyDescent="0.25">
      <c r="A259" s="48"/>
      <c r="B259" s="48"/>
      <c r="C259" s="48"/>
      <c r="D259" s="48"/>
      <c r="E259" s="48"/>
      <c r="F259" s="48"/>
      <c r="G259" s="48"/>
      <c r="H259" s="48"/>
      <c r="I259" s="48"/>
      <c r="J259" s="48"/>
      <c r="K259" s="48"/>
      <c r="L259" s="48"/>
      <c r="M259" s="48"/>
      <c r="N259" s="48"/>
      <c r="O259" s="48"/>
      <c r="P259" s="48"/>
      <c r="Q259" s="48"/>
      <c r="R259" s="48"/>
      <c r="S259" s="48"/>
      <c r="T259" s="48"/>
      <c r="U259" s="48"/>
      <c r="V259" s="48"/>
      <c r="W259" s="48"/>
      <c r="X259" s="48"/>
      <c r="Y259" s="48"/>
      <c r="Z259" s="48"/>
      <c r="AA259" s="48"/>
      <c r="AB259" s="48"/>
      <c r="AC259" s="48"/>
      <c r="AD259" s="48"/>
      <c r="AE259" s="48"/>
      <c r="AF259" s="48"/>
      <c r="AG259" s="48"/>
      <c r="AH259" s="48"/>
      <c r="AI259" s="48"/>
      <c r="AJ259" s="48"/>
      <c r="AK259" s="48"/>
      <c r="AL259" s="48"/>
      <c r="AM259" s="48"/>
      <c r="AN259" s="48"/>
      <c r="AO259" s="48"/>
      <c r="AP259" s="48"/>
      <c r="AQ259" s="48"/>
      <c r="AR259" s="48"/>
      <c r="AS259" s="48"/>
      <c r="AT259" s="48"/>
      <c r="AU259" s="48"/>
      <c r="AV259" s="48"/>
      <c r="AW259" s="48"/>
      <c r="AX259" s="48"/>
      <c r="AY259" s="48"/>
      <c r="AZ259" s="48"/>
      <c r="BA259" s="48"/>
      <c r="BB259" s="48"/>
      <c r="BC259" s="48"/>
      <c r="BD259" s="48"/>
    </row>
    <row r="260" spans="1:56" x14ac:dyDescent="0.25">
      <c r="A260" s="48"/>
      <c r="B260" s="48"/>
      <c r="C260" s="48"/>
      <c r="D260" s="48"/>
      <c r="E260" s="48"/>
      <c r="F260" s="48"/>
      <c r="G260" s="48"/>
      <c r="H260" s="48"/>
      <c r="I260" s="48"/>
      <c r="J260" s="48"/>
      <c r="K260" s="48"/>
      <c r="L260" s="48"/>
      <c r="M260" s="48"/>
      <c r="N260" s="48"/>
      <c r="O260" s="48"/>
      <c r="P260" s="48"/>
      <c r="Q260" s="48"/>
      <c r="R260" s="48"/>
      <c r="S260" s="48"/>
      <c r="T260" s="48"/>
      <c r="U260" s="48"/>
      <c r="V260" s="48"/>
      <c r="W260" s="48"/>
      <c r="X260" s="48"/>
      <c r="Y260" s="48"/>
      <c r="Z260" s="48"/>
      <c r="AA260" s="48"/>
      <c r="AB260" s="48"/>
      <c r="AC260" s="48"/>
      <c r="AD260" s="48"/>
      <c r="AE260" s="48"/>
      <c r="AF260" s="48"/>
      <c r="AG260" s="48"/>
      <c r="AH260" s="48"/>
      <c r="AI260" s="48"/>
      <c r="AJ260" s="48"/>
      <c r="AK260" s="48"/>
      <c r="AL260" s="48"/>
      <c r="AM260" s="48"/>
      <c r="AN260" s="48"/>
      <c r="AO260" s="48"/>
      <c r="AP260" s="48"/>
      <c r="AQ260" s="48"/>
      <c r="AR260" s="48"/>
      <c r="AS260" s="48"/>
      <c r="AT260" s="48"/>
      <c r="AU260" s="48"/>
      <c r="AV260" s="48"/>
      <c r="AW260" s="48"/>
      <c r="AX260" s="48"/>
      <c r="AY260" s="48"/>
      <c r="AZ260" s="48"/>
      <c r="BA260" s="48"/>
      <c r="BB260" s="48"/>
      <c r="BC260" s="48"/>
      <c r="BD260" s="48"/>
    </row>
    <row r="261" spans="1:56" x14ac:dyDescent="0.25">
      <c r="A261" s="48"/>
      <c r="B261" s="48"/>
      <c r="C261" s="48"/>
      <c r="D261" s="48"/>
      <c r="E261" s="48"/>
      <c r="F261" s="48"/>
      <c r="G261" s="48"/>
      <c r="H261" s="48"/>
      <c r="I261" s="48"/>
      <c r="J261" s="48"/>
      <c r="K261" s="48"/>
      <c r="L261" s="48"/>
      <c r="M261" s="48"/>
      <c r="N261" s="48"/>
      <c r="O261" s="48"/>
      <c r="P261" s="48"/>
      <c r="Q261" s="48"/>
      <c r="R261" s="48"/>
      <c r="S261" s="48"/>
      <c r="T261" s="48"/>
      <c r="U261" s="48"/>
      <c r="V261" s="48"/>
      <c r="W261" s="48"/>
      <c r="X261" s="48"/>
      <c r="Y261" s="48"/>
      <c r="Z261" s="48"/>
      <c r="AA261" s="48"/>
      <c r="AB261" s="48"/>
      <c r="AC261" s="48"/>
      <c r="AD261" s="48"/>
      <c r="AE261" s="48"/>
      <c r="AF261" s="48"/>
      <c r="AG261" s="48"/>
      <c r="AH261" s="48"/>
      <c r="AI261" s="48"/>
      <c r="AJ261" s="48"/>
      <c r="AK261" s="48"/>
      <c r="AL261" s="48"/>
      <c r="AM261" s="48"/>
      <c r="AN261" s="48"/>
      <c r="AO261" s="48"/>
      <c r="AP261" s="48"/>
      <c r="AQ261" s="48"/>
      <c r="AR261" s="48"/>
      <c r="AS261" s="48"/>
      <c r="AT261" s="48"/>
      <c r="AU261" s="48"/>
      <c r="AV261" s="48"/>
      <c r="AW261" s="48"/>
      <c r="AX261" s="48"/>
      <c r="AY261" s="48"/>
      <c r="AZ261" s="48"/>
      <c r="BA261" s="48"/>
      <c r="BB261" s="48"/>
      <c r="BC261" s="48"/>
      <c r="BD261" s="48"/>
    </row>
    <row r="262" spans="1:56" x14ac:dyDescent="0.25">
      <c r="A262" s="48"/>
      <c r="B262" s="48"/>
      <c r="C262" s="48"/>
      <c r="D262" s="48"/>
      <c r="E262" s="48"/>
      <c r="F262" s="48"/>
      <c r="G262" s="48"/>
      <c r="H262" s="48"/>
      <c r="I262" s="48"/>
      <c r="J262" s="48"/>
      <c r="K262" s="48"/>
      <c r="L262" s="48"/>
      <c r="M262" s="48"/>
      <c r="N262" s="48"/>
      <c r="O262" s="48"/>
      <c r="P262" s="48"/>
      <c r="Q262" s="48"/>
      <c r="R262" s="48"/>
      <c r="S262" s="48"/>
      <c r="T262" s="48"/>
      <c r="U262" s="48"/>
      <c r="V262" s="48"/>
      <c r="W262" s="48"/>
      <c r="X262" s="48"/>
      <c r="Y262" s="48"/>
      <c r="Z262" s="48"/>
      <c r="AA262" s="48"/>
      <c r="AB262" s="48"/>
      <c r="AC262" s="48"/>
      <c r="AD262" s="48"/>
      <c r="AE262" s="48"/>
      <c r="AF262" s="48"/>
      <c r="AG262" s="48"/>
      <c r="AH262" s="48"/>
      <c r="AI262" s="48"/>
      <c r="AJ262" s="48"/>
      <c r="AK262" s="48"/>
      <c r="AL262" s="48"/>
      <c r="AM262" s="48"/>
      <c r="AN262" s="48"/>
      <c r="AO262" s="48"/>
      <c r="AP262" s="48"/>
      <c r="AQ262" s="48"/>
      <c r="AR262" s="48"/>
      <c r="AS262" s="48"/>
      <c r="AT262" s="48"/>
      <c r="AU262" s="48"/>
      <c r="AV262" s="48"/>
      <c r="AW262" s="48"/>
      <c r="AX262" s="48"/>
      <c r="AY262" s="48"/>
      <c r="AZ262" s="48"/>
      <c r="BA262" s="48"/>
      <c r="BB262" s="48"/>
      <c r="BC262" s="48"/>
      <c r="BD262" s="48"/>
    </row>
    <row r="263" spans="1:56" x14ac:dyDescent="0.25">
      <c r="A263" s="48"/>
      <c r="B263" s="48"/>
      <c r="C263" s="48"/>
      <c r="D263" s="48"/>
      <c r="E263" s="48"/>
      <c r="F263" s="48"/>
      <c r="G263" s="48"/>
      <c r="H263" s="48"/>
      <c r="I263" s="48"/>
      <c r="J263" s="48"/>
      <c r="K263" s="48"/>
      <c r="L263" s="48"/>
      <c r="M263" s="48"/>
      <c r="N263" s="48"/>
      <c r="O263" s="48"/>
      <c r="P263" s="48"/>
      <c r="Q263" s="48"/>
      <c r="R263" s="48"/>
      <c r="S263" s="48"/>
      <c r="T263" s="48"/>
      <c r="U263" s="48"/>
      <c r="V263" s="48"/>
      <c r="W263" s="48"/>
      <c r="X263" s="48"/>
      <c r="Y263" s="48"/>
      <c r="Z263" s="48"/>
      <c r="AA263" s="48"/>
      <c r="AB263" s="48"/>
      <c r="AC263" s="48"/>
      <c r="AD263" s="48"/>
      <c r="AE263" s="48"/>
      <c r="AF263" s="48"/>
      <c r="AG263" s="48"/>
      <c r="AH263" s="48"/>
      <c r="AI263" s="48"/>
      <c r="AJ263" s="48"/>
      <c r="AK263" s="48"/>
      <c r="AL263" s="48"/>
      <c r="AM263" s="48"/>
      <c r="AN263" s="48"/>
      <c r="AO263" s="48"/>
      <c r="AP263" s="48"/>
      <c r="AQ263" s="48"/>
      <c r="AR263" s="48"/>
      <c r="AS263" s="48"/>
      <c r="AT263" s="48"/>
      <c r="AU263" s="48"/>
      <c r="AV263" s="48"/>
      <c r="AW263" s="48"/>
      <c r="AX263" s="48"/>
      <c r="AY263" s="48"/>
      <c r="AZ263" s="48"/>
      <c r="BA263" s="48"/>
      <c r="BB263" s="48"/>
      <c r="BC263" s="48"/>
      <c r="BD263" s="48"/>
    </row>
    <row r="264" spans="1:56" x14ac:dyDescent="0.25">
      <c r="A264" s="48"/>
      <c r="B264" s="48"/>
      <c r="C264" s="48"/>
      <c r="D264" s="48"/>
      <c r="E264" s="48"/>
      <c r="F264" s="48"/>
      <c r="G264" s="48"/>
      <c r="H264" s="48"/>
      <c r="I264" s="48"/>
      <c r="J264" s="48"/>
      <c r="K264" s="48"/>
      <c r="L264" s="48"/>
      <c r="M264" s="48"/>
      <c r="N264" s="48"/>
      <c r="O264" s="48"/>
      <c r="P264" s="48"/>
      <c r="Q264" s="48"/>
      <c r="R264" s="48"/>
      <c r="S264" s="48"/>
      <c r="T264" s="48"/>
      <c r="U264" s="48"/>
      <c r="V264" s="48"/>
      <c r="W264" s="48"/>
      <c r="X264" s="48"/>
      <c r="Y264" s="48"/>
      <c r="Z264" s="48"/>
      <c r="AA264" s="48"/>
      <c r="AB264" s="48"/>
      <c r="AC264" s="48"/>
      <c r="AD264" s="48"/>
      <c r="AE264" s="48"/>
      <c r="AF264" s="48"/>
      <c r="AG264" s="48"/>
      <c r="AH264" s="48"/>
      <c r="AI264" s="48"/>
      <c r="AJ264" s="48"/>
      <c r="AK264" s="48"/>
      <c r="AL264" s="48"/>
      <c r="AM264" s="48"/>
      <c r="AN264" s="48"/>
      <c r="AO264" s="48"/>
      <c r="AP264" s="48"/>
      <c r="AQ264" s="48"/>
      <c r="AR264" s="48"/>
      <c r="AS264" s="48"/>
      <c r="AT264" s="48"/>
      <c r="AU264" s="48"/>
      <c r="AV264" s="48"/>
      <c r="AW264" s="48"/>
      <c r="AX264" s="48"/>
      <c r="AY264" s="48"/>
      <c r="AZ264" s="48"/>
      <c r="BA264" s="48"/>
      <c r="BB264" s="48"/>
      <c r="BC264" s="48"/>
      <c r="BD264" s="48"/>
    </row>
    <row r="265" spans="1:56" x14ac:dyDescent="0.25">
      <c r="A265" s="48"/>
      <c r="B265" s="48"/>
      <c r="C265" s="48"/>
      <c r="D265" s="48"/>
      <c r="E265" s="48"/>
      <c r="F265" s="48"/>
      <c r="G265" s="48"/>
      <c r="H265" s="48"/>
      <c r="I265" s="48"/>
      <c r="J265" s="48"/>
      <c r="K265" s="48"/>
      <c r="L265" s="48"/>
      <c r="M265" s="48"/>
      <c r="N265" s="48"/>
      <c r="O265" s="48"/>
      <c r="P265" s="48"/>
      <c r="Q265" s="48"/>
      <c r="R265" s="48"/>
      <c r="S265" s="48"/>
      <c r="T265" s="48"/>
      <c r="U265" s="48"/>
      <c r="V265" s="48"/>
      <c r="W265" s="48"/>
      <c r="X265" s="48"/>
      <c r="Y265" s="48"/>
      <c r="Z265" s="48"/>
      <c r="AA265" s="48"/>
      <c r="AB265" s="48"/>
      <c r="AC265" s="48"/>
      <c r="AD265" s="48"/>
      <c r="AE265" s="48"/>
      <c r="AF265" s="48"/>
      <c r="AG265" s="48"/>
      <c r="AH265" s="48"/>
      <c r="AI265" s="48"/>
      <c r="AJ265" s="48"/>
      <c r="AK265" s="48"/>
      <c r="AL265" s="48"/>
      <c r="AM265" s="48"/>
      <c r="AN265" s="48"/>
      <c r="AO265" s="48"/>
      <c r="AP265" s="48"/>
      <c r="AQ265" s="48"/>
      <c r="AR265" s="48"/>
      <c r="AS265" s="48"/>
      <c r="AT265" s="48"/>
      <c r="AU265" s="48"/>
      <c r="AV265" s="48"/>
      <c r="AW265" s="48"/>
      <c r="AX265" s="48"/>
      <c r="AY265" s="48"/>
      <c r="AZ265" s="48"/>
      <c r="BA265" s="48"/>
      <c r="BB265" s="48"/>
      <c r="BC265" s="48"/>
      <c r="BD265" s="48"/>
    </row>
    <row r="266" spans="1:56" x14ac:dyDescent="0.25">
      <c r="A266" s="48"/>
      <c r="B266" s="48"/>
      <c r="C266" s="48"/>
      <c r="D266" s="48"/>
      <c r="E266" s="48"/>
      <c r="F266" s="48"/>
      <c r="G266" s="48"/>
      <c r="H266" s="48"/>
      <c r="I266" s="48"/>
      <c r="J266" s="48"/>
      <c r="K266" s="48"/>
      <c r="L266" s="48"/>
      <c r="M266" s="48"/>
      <c r="N266" s="48"/>
      <c r="O266" s="48"/>
      <c r="P266" s="48"/>
      <c r="Q266" s="48"/>
      <c r="R266" s="48"/>
      <c r="S266" s="48"/>
      <c r="T266" s="48"/>
      <c r="U266" s="48"/>
      <c r="V266" s="48"/>
      <c r="W266" s="48"/>
      <c r="X266" s="48"/>
      <c r="Y266" s="48"/>
      <c r="Z266" s="48"/>
      <c r="AA266" s="48"/>
      <c r="AB266" s="48"/>
      <c r="AC266" s="48"/>
      <c r="AD266" s="48"/>
      <c r="AE266" s="48"/>
      <c r="AF266" s="48"/>
      <c r="AG266" s="48"/>
      <c r="AH266" s="48"/>
      <c r="AI266" s="48"/>
      <c r="AJ266" s="48"/>
      <c r="AK266" s="48"/>
      <c r="AL266" s="48"/>
      <c r="AM266" s="48"/>
      <c r="AN266" s="48"/>
      <c r="AO266" s="48"/>
      <c r="AP266" s="48"/>
      <c r="AQ266" s="48"/>
      <c r="AR266" s="48"/>
      <c r="AS266" s="48"/>
      <c r="AT266" s="48"/>
      <c r="AU266" s="48"/>
      <c r="AV266" s="48"/>
      <c r="AW266" s="48"/>
      <c r="AX266" s="48"/>
      <c r="AY266" s="48"/>
      <c r="AZ266" s="48"/>
      <c r="BA266" s="48"/>
      <c r="BB266" s="48"/>
      <c r="BC266" s="48"/>
      <c r="BD266" s="48"/>
    </row>
    <row r="267" spans="1:56" x14ac:dyDescent="0.25">
      <c r="A267" s="48"/>
      <c r="B267" s="48"/>
      <c r="C267" s="48"/>
      <c r="D267" s="48"/>
      <c r="E267" s="48"/>
      <c r="F267" s="48"/>
      <c r="G267" s="48"/>
      <c r="H267" s="48"/>
      <c r="I267" s="48"/>
      <c r="J267" s="48"/>
      <c r="K267" s="48"/>
      <c r="L267" s="48"/>
      <c r="M267" s="48"/>
      <c r="N267" s="48"/>
      <c r="O267" s="48"/>
      <c r="P267" s="48"/>
      <c r="Q267" s="48"/>
      <c r="R267" s="48"/>
      <c r="S267" s="48"/>
      <c r="T267" s="48"/>
      <c r="U267" s="48"/>
      <c r="V267" s="48"/>
      <c r="W267" s="48"/>
      <c r="X267" s="48"/>
      <c r="Y267" s="48"/>
      <c r="Z267" s="48"/>
      <c r="AA267" s="48"/>
      <c r="AB267" s="48"/>
      <c r="AC267" s="48"/>
      <c r="AD267" s="48"/>
      <c r="AE267" s="48"/>
      <c r="AF267" s="48"/>
      <c r="AG267" s="48"/>
      <c r="AH267" s="48"/>
      <c r="AI267" s="48"/>
      <c r="AJ267" s="48"/>
      <c r="AK267" s="48"/>
      <c r="AL267" s="48"/>
      <c r="AM267" s="48"/>
      <c r="AN267" s="48"/>
      <c r="AO267" s="48"/>
      <c r="AP267" s="48"/>
      <c r="AQ267" s="48"/>
      <c r="AR267" s="48"/>
      <c r="AS267" s="48"/>
      <c r="AT267" s="48"/>
      <c r="AU267" s="48"/>
      <c r="AV267" s="48"/>
      <c r="AW267" s="48"/>
      <c r="AX267" s="48"/>
      <c r="AY267" s="48"/>
      <c r="AZ267" s="48"/>
      <c r="BA267" s="48"/>
      <c r="BB267" s="48"/>
      <c r="BC267" s="48"/>
      <c r="BD267" s="48"/>
    </row>
    <row r="268" spans="1:56" x14ac:dyDescent="0.25">
      <c r="A268" s="48"/>
      <c r="B268" s="48"/>
      <c r="C268" s="48"/>
      <c r="D268" s="48"/>
      <c r="E268" s="48"/>
      <c r="F268" s="48"/>
      <c r="G268" s="48"/>
      <c r="H268" s="48"/>
      <c r="I268" s="48"/>
      <c r="J268" s="48"/>
      <c r="K268" s="48"/>
      <c r="L268" s="48"/>
      <c r="M268" s="48"/>
      <c r="N268" s="48"/>
      <c r="O268" s="48"/>
      <c r="P268" s="48"/>
      <c r="Q268" s="48"/>
      <c r="R268" s="48"/>
      <c r="S268" s="48"/>
      <c r="T268" s="48"/>
      <c r="U268" s="48"/>
      <c r="V268" s="48"/>
      <c r="W268" s="48"/>
      <c r="X268" s="48"/>
      <c r="Y268" s="48"/>
      <c r="Z268" s="48"/>
      <c r="AA268" s="48"/>
      <c r="AB268" s="48"/>
      <c r="AC268" s="48"/>
      <c r="AD268" s="48"/>
      <c r="AE268" s="48"/>
      <c r="AF268" s="48"/>
      <c r="AG268" s="48"/>
      <c r="AH268" s="48"/>
      <c r="AI268" s="48"/>
      <c r="AJ268" s="48"/>
      <c r="AK268" s="48"/>
      <c r="AL268" s="48"/>
      <c r="AM268" s="48"/>
      <c r="AN268" s="48"/>
      <c r="AO268" s="48"/>
      <c r="AP268" s="48"/>
      <c r="AQ268" s="48"/>
      <c r="AR268" s="48"/>
      <c r="AS268" s="48"/>
      <c r="AT268" s="48"/>
      <c r="AU268" s="48"/>
      <c r="AV268" s="48"/>
      <c r="AW268" s="48"/>
      <c r="AX268" s="48"/>
      <c r="AY268" s="48"/>
      <c r="AZ268" s="48"/>
      <c r="BA268" s="48"/>
      <c r="BB268" s="48"/>
      <c r="BC268" s="48"/>
      <c r="BD268" s="48"/>
    </row>
    <row r="269" spans="1:56" x14ac:dyDescent="0.25">
      <c r="A269" s="48"/>
      <c r="B269" s="48"/>
      <c r="C269" s="48"/>
      <c r="D269" s="48"/>
      <c r="E269" s="48"/>
      <c r="F269" s="48"/>
      <c r="G269" s="48"/>
      <c r="H269" s="48"/>
      <c r="I269" s="48"/>
      <c r="J269" s="48"/>
      <c r="K269" s="48"/>
      <c r="L269" s="48"/>
      <c r="M269" s="48"/>
      <c r="N269" s="48"/>
      <c r="O269" s="48"/>
      <c r="P269" s="48"/>
      <c r="Q269" s="48"/>
      <c r="R269" s="48"/>
      <c r="S269" s="48"/>
      <c r="T269" s="48"/>
      <c r="U269" s="48"/>
      <c r="V269" s="48"/>
      <c r="W269" s="48"/>
      <c r="X269" s="48"/>
      <c r="Y269" s="48"/>
      <c r="Z269" s="48"/>
      <c r="AA269" s="48"/>
      <c r="AB269" s="48"/>
      <c r="AC269" s="48"/>
      <c r="AD269" s="48"/>
      <c r="AE269" s="48"/>
      <c r="AF269" s="48"/>
      <c r="AG269" s="48"/>
      <c r="AH269" s="48"/>
      <c r="AI269" s="48"/>
      <c r="AJ269" s="48"/>
      <c r="AK269" s="48"/>
      <c r="AL269" s="48"/>
      <c r="AM269" s="48"/>
      <c r="AN269" s="48"/>
      <c r="AO269" s="48"/>
      <c r="AP269" s="48"/>
      <c r="AQ269" s="48"/>
      <c r="AR269" s="48"/>
      <c r="AS269" s="48"/>
      <c r="AT269" s="48"/>
      <c r="AU269" s="48"/>
      <c r="AV269" s="48"/>
      <c r="AW269" s="48"/>
      <c r="AX269" s="48"/>
      <c r="AY269" s="48"/>
      <c r="AZ269" s="48"/>
      <c r="BA269" s="48"/>
      <c r="BB269" s="48"/>
      <c r="BC269" s="48"/>
      <c r="BD269" s="48"/>
    </row>
    <row r="270" spans="1:56" x14ac:dyDescent="0.25">
      <c r="A270" s="48"/>
      <c r="B270" s="48"/>
      <c r="C270" s="48"/>
      <c r="D270" s="48"/>
      <c r="E270" s="48"/>
      <c r="F270" s="48"/>
      <c r="G270" s="48"/>
      <c r="H270" s="48"/>
      <c r="I270" s="48"/>
      <c r="J270" s="48"/>
      <c r="K270" s="48"/>
      <c r="L270" s="48"/>
      <c r="M270" s="48"/>
      <c r="N270" s="48"/>
      <c r="O270" s="48"/>
      <c r="P270" s="48"/>
      <c r="Q270" s="48"/>
      <c r="R270" s="48"/>
      <c r="S270" s="48"/>
      <c r="T270" s="48"/>
      <c r="U270" s="48"/>
      <c r="V270" s="48"/>
      <c r="W270" s="48"/>
      <c r="X270" s="48"/>
      <c r="Y270" s="48"/>
      <c r="Z270" s="48"/>
      <c r="AA270" s="48"/>
      <c r="AB270" s="48"/>
      <c r="AC270" s="48"/>
      <c r="AD270" s="48"/>
      <c r="AE270" s="48"/>
      <c r="AF270" s="48"/>
      <c r="AG270" s="48"/>
      <c r="AH270" s="48"/>
      <c r="AI270" s="48"/>
      <c r="AJ270" s="48"/>
      <c r="AK270" s="48"/>
      <c r="AL270" s="48"/>
      <c r="AM270" s="48"/>
      <c r="AN270" s="48"/>
      <c r="AO270" s="48"/>
      <c r="AP270" s="48"/>
      <c r="AQ270" s="48"/>
      <c r="AR270" s="48"/>
      <c r="AS270" s="48"/>
      <c r="AT270" s="48"/>
      <c r="AU270" s="48"/>
      <c r="AV270" s="48"/>
      <c r="AW270" s="48"/>
      <c r="AX270" s="48"/>
      <c r="AY270" s="48"/>
      <c r="AZ270" s="48"/>
      <c r="BA270" s="48"/>
      <c r="BB270" s="48"/>
      <c r="BC270" s="48"/>
      <c r="BD270" s="48"/>
    </row>
    <row r="271" spans="1:56" x14ac:dyDescent="0.25">
      <c r="A271" s="48"/>
      <c r="B271" s="48"/>
      <c r="C271" s="48"/>
      <c r="D271" s="48"/>
      <c r="E271" s="48"/>
      <c r="F271" s="48"/>
      <c r="G271" s="48"/>
      <c r="H271" s="48"/>
      <c r="I271" s="48"/>
      <c r="J271" s="48"/>
      <c r="K271" s="48"/>
      <c r="L271" s="48"/>
      <c r="M271" s="48"/>
      <c r="N271" s="48"/>
      <c r="O271" s="48"/>
      <c r="P271" s="48"/>
      <c r="Q271" s="48"/>
      <c r="R271" s="48"/>
      <c r="S271" s="48"/>
      <c r="T271" s="48"/>
      <c r="U271" s="48"/>
      <c r="V271" s="48"/>
      <c r="W271" s="48"/>
      <c r="X271" s="48"/>
      <c r="Y271" s="48"/>
      <c r="Z271" s="48"/>
      <c r="AA271" s="48"/>
      <c r="AB271" s="48"/>
      <c r="AC271" s="48"/>
      <c r="AD271" s="48"/>
      <c r="AE271" s="48"/>
      <c r="AF271" s="48"/>
      <c r="AG271" s="48"/>
      <c r="AH271" s="48"/>
      <c r="AI271" s="48"/>
      <c r="AJ271" s="48"/>
      <c r="AK271" s="48"/>
      <c r="AL271" s="48"/>
      <c r="AM271" s="48"/>
      <c r="AN271" s="48"/>
      <c r="AO271" s="48"/>
      <c r="AP271" s="48"/>
      <c r="AQ271" s="48"/>
      <c r="AR271" s="48"/>
      <c r="AS271" s="48"/>
      <c r="AT271" s="48"/>
      <c r="AU271" s="48"/>
      <c r="AV271" s="48"/>
      <c r="AW271" s="48"/>
      <c r="AX271" s="48"/>
      <c r="AY271" s="48"/>
      <c r="AZ271" s="48"/>
      <c r="BA271" s="48"/>
      <c r="BB271" s="48"/>
      <c r="BC271" s="48"/>
      <c r="BD271" s="48"/>
    </row>
    <row r="272" spans="1:56" x14ac:dyDescent="0.25">
      <c r="A272" s="48"/>
      <c r="B272" s="48"/>
      <c r="C272" s="48"/>
      <c r="D272" s="48"/>
      <c r="E272" s="48"/>
      <c r="F272" s="48"/>
      <c r="G272" s="48"/>
      <c r="H272" s="48"/>
      <c r="I272" s="48"/>
      <c r="J272" s="48"/>
      <c r="K272" s="48"/>
      <c r="L272" s="48"/>
      <c r="M272" s="48"/>
      <c r="N272" s="48"/>
      <c r="O272" s="48"/>
      <c r="P272" s="48"/>
      <c r="Q272" s="48"/>
      <c r="R272" s="48"/>
      <c r="S272" s="48"/>
      <c r="T272" s="48"/>
      <c r="U272" s="48"/>
      <c r="V272" s="48"/>
      <c r="W272" s="48"/>
      <c r="X272" s="48"/>
      <c r="Y272" s="48"/>
      <c r="Z272" s="48"/>
      <c r="AA272" s="48"/>
      <c r="AB272" s="48"/>
      <c r="AC272" s="48"/>
      <c r="AD272" s="48"/>
      <c r="AE272" s="48"/>
      <c r="AF272" s="48"/>
      <c r="AG272" s="48"/>
      <c r="AH272" s="48"/>
      <c r="AI272" s="48"/>
      <c r="AJ272" s="48"/>
      <c r="AK272" s="48"/>
      <c r="AL272" s="48"/>
      <c r="AM272" s="48"/>
      <c r="AN272" s="48"/>
      <c r="AO272" s="48"/>
      <c r="AP272" s="48"/>
      <c r="AQ272" s="48"/>
      <c r="AR272" s="48"/>
      <c r="AS272" s="48"/>
      <c r="AT272" s="48"/>
      <c r="AU272" s="48"/>
      <c r="AV272" s="48"/>
      <c r="AW272" s="48"/>
      <c r="AX272" s="48"/>
      <c r="AY272" s="48"/>
      <c r="AZ272" s="48"/>
      <c r="BA272" s="48"/>
      <c r="BB272" s="48"/>
      <c r="BC272" s="48"/>
      <c r="BD272" s="48"/>
    </row>
    <row r="273" spans="1:56" x14ac:dyDescent="0.25">
      <c r="A273" s="48"/>
      <c r="B273" s="48"/>
      <c r="C273" s="48"/>
      <c r="D273" s="48"/>
      <c r="E273" s="48"/>
      <c r="F273" s="48"/>
      <c r="G273" s="48"/>
      <c r="H273" s="48"/>
      <c r="I273" s="48"/>
      <c r="J273" s="48"/>
      <c r="K273" s="48"/>
      <c r="L273" s="48"/>
      <c r="M273" s="48"/>
      <c r="N273" s="48"/>
      <c r="O273" s="48"/>
      <c r="P273" s="48"/>
      <c r="Q273" s="48"/>
      <c r="R273" s="48"/>
      <c r="S273" s="48"/>
      <c r="T273" s="48"/>
      <c r="U273" s="48"/>
      <c r="V273" s="48"/>
      <c r="W273" s="48"/>
      <c r="X273" s="48"/>
      <c r="Y273" s="48"/>
      <c r="Z273" s="48"/>
      <c r="AA273" s="48"/>
      <c r="AB273" s="48"/>
      <c r="AC273" s="48"/>
      <c r="AD273" s="48"/>
      <c r="AE273" s="48"/>
      <c r="AF273" s="48"/>
      <c r="AG273" s="48"/>
      <c r="AH273" s="48"/>
      <c r="AI273" s="48"/>
      <c r="AJ273" s="48"/>
      <c r="AK273" s="48"/>
      <c r="AL273" s="48"/>
      <c r="AM273" s="48"/>
      <c r="AN273" s="48"/>
      <c r="AO273" s="48"/>
      <c r="AP273" s="48"/>
      <c r="AQ273" s="48"/>
      <c r="AR273" s="48"/>
      <c r="AS273" s="48"/>
      <c r="AT273" s="48"/>
      <c r="AU273" s="48"/>
      <c r="AV273" s="48"/>
      <c r="AW273" s="48"/>
      <c r="AX273" s="48"/>
      <c r="AY273" s="48"/>
      <c r="AZ273" s="48"/>
      <c r="BA273" s="48"/>
      <c r="BB273" s="48"/>
      <c r="BC273" s="48"/>
      <c r="BD273" s="48"/>
    </row>
    <row r="274" spans="1:56" x14ac:dyDescent="0.25">
      <c r="A274" s="48"/>
      <c r="B274" s="48"/>
      <c r="C274" s="48"/>
      <c r="D274" s="48"/>
      <c r="E274" s="48"/>
      <c r="F274" s="48"/>
      <c r="G274" s="48"/>
      <c r="H274" s="48"/>
      <c r="I274" s="48"/>
      <c r="J274" s="48"/>
      <c r="K274" s="48"/>
      <c r="L274" s="48"/>
      <c r="M274" s="48"/>
      <c r="N274" s="48"/>
      <c r="O274" s="48"/>
      <c r="P274" s="48"/>
      <c r="Q274" s="48"/>
      <c r="R274" s="48"/>
      <c r="S274" s="48"/>
      <c r="T274" s="48"/>
      <c r="U274" s="48"/>
      <c r="V274" s="48"/>
      <c r="W274" s="48"/>
      <c r="X274" s="48"/>
      <c r="Y274" s="48"/>
      <c r="Z274" s="48"/>
      <c r="AA274" s="48"/>
      <c r="AB274" s="48"/>
      <c r="AC274" s="48"/>
      <c r="AD274" s="48"/>
      <c r="AE274" s="48"/>
      <c r="AF274" s="48"/>
      <c r="AG274" s="48"/>
      <c r="AH274" s="48"/>
      <c r="AI274" s="48"/>
      <c r="AJ274" s="48"/>
      <c r="AK274" s="48"/>
      <c r="AL274" s="48"/>
      <c r="AM274" s="48"/>
      <c r="AN274" s="48"/>
      <c r="AO274" s="48"/>
      <c r="AP274" s="48"/>
      <c r="AQ274" s="48"/>
      <c r="AR274" s="48"/>
      <c r="AS274" s="48"/>
      <c r="AT274" s="48"/>
      <c r="AU274" s="48"/>
      <c r="AV274" s="48"/>
      <c r="AW274" s="48"/>
      <c r="AX274" s="48"/>
      <c r="AY274" s="48"/>
      <c r="AZ274" s="48"/>
      <c r="BA274" s="48"/>
      <c r="BB274" s="48"/>
      <c r="BC274" s="48"/>
      <c r="BD274" s="48"/>
    </row>
    <row r="275" spans="1:56" x14ac:dyDescent="0.25">
      <c r="A275" s="48"/>
      <c r="B275" s="48"/>
      <c r="C275" s="48"/>
      <c r="D275" s="48"/>
      <c r="E275" s="48"/>
      <c r="F275" s="48"/>
      <c r="G275" s="48"/>
      <c r="H275" s="48"/>
      <c r="I275" s="48"/>
      <c r="J275" s="48"/>
      <c r="K275" s="48"/>
      <c r="L275" s="48"/>
      <c r="M275" s="48"/>
      <c r="N275" s="48"/>
      <c r="O275" s="48"/>
      <c r="P275" s="48"/>
      <c r="Q275" s="48"/>
      <c r="R275" s="48"/>
      <c r="S275" s="48"/>
      <c r="T275" s="48"/>
      <c r="U275" s="48"/>
      <c r="V275" s="48"/>
      <c r="W275" s="48"/>
      <c r="X275" s="48"/>
      <c r="Y275" s="48"/>
      <c r="Z275" s="48"/>
      <c r="AA275" s="48"/>
      <c r="AB275" s="48"/>
      <c r="AC275" s="48"/>
      <c r="AD275" s="48"/>
      <c r="AE275" s="48"/>
      <c r="AF275" s="48"/>
      <c r="AG275" s="48"/>
      <c r="AH275" s="48"/>
      <c r="AI275" s="48"/>
      <c r="AJ275" s="48"/>
      <c r="AK275" s="48"/>
      <c r="AL275" s="48"/>
      <c r="AM275" s="48"/>
      <c r="AN275" s="48"/>
      <c r="AO275" s="48"/>
      <c r="AP275" s="48"/>
      <c r="AQ275" s="48"/>
      <c r="AR275" s="48"/>
      <c r="AS275" s="48"/>
      <c r="AT275" s="48"/>
      <c r="AU275" s="48"/>
      <c r="AV275" s="48"/>
      <c r="AW275" s="48"/>
      <c r="AX275" s="48"/>
      <c r="AY275" s="48"/>
      <c r="AZ275" s="48"/>
      <c r="BA275" s="48"/>
      <c r="BB275" s="48"/>
      <c r="BC275" s="48"/>
      <c r="BD275" s="48"/>
    </row>
    <row r="276" spans="1:56" x14ac:dyDescent="0.25">
      <c r="A276" s="48"/>
      <c r="B276" s="48"/>
      <c r="C276" s="48"/>
      <c r="D276" s="48"/>
      <c r="E276" s="48"/>
      <c r="F276" s="48"/>
      <c r="G276" s="48"/>
      <c r="H276" s="48"/>
      <c r="I276" s="48"/>
      <c r="J276" s="48"/>
      <c r="K276" s="48"/>
      <c r="L276" s="48"/>
      <c r="M276" s="48"/>
      <c r="N276" s="48"/>
      <c r="O276" s="48"/>
      <c r="P276" s="48"/>
      <c r="Q276" s="48"/>
      <c r="R276" s="48"/>
      <c r="S276" s="48"/>
      <c r="T276" s="48"/>
      <c r="U276" s="48"/>
      <c r="V276" s="48"/>
      <c r="W276" s="48"/>
      <c r="X276" s="48"/>
      <c r="Y276" s="48"/>
      <c r="Z276" s="48"/>
      <c r="AA276" s="48"/>
      <c r="AB276" s="48"/>
      <c r="AC276" s="48"/>
      <c r="AD276" s="48"/>
      <c r="AE276" s="48"/>
      <c r="AF276" s="48"/>
      <c r="AG276" s="48"/>
      <c r="AH276" s="48"/>
      <c r="AI276" s="48"/>
      <c r="AJ276" s="48"/>
      <c r="AK276" s="48"/>
      <c r="AL276" s="48"/>
      <c r="AM276" s="48"/>
      <c r="AN276" s="48"/>
      <c r="AO276" s="48"/>
      <c r="AP276" s="48"/>
      <c r="AQ276" s="48"/>
      <c r="AR276" s="48"/>
      <c r="AS276" s="48"/>
      <c r="AT276" s="48"/>
      <c r="AU276" s="48"/>
      <c r="AV276" s="48"/>
      <c r="AW276" s="48"/>
      <c r="AX276" s="48"/>
      <c r="AY276" s="48"/>
      <c r="AZ276" s="48"/>
      <c r="BA276" s="48"/>
      <c r="BB276" s="48"/>
      <c r="BC276" s="48"/>
      <c r="BD276" s="48"/>
    </row>
    <row r="277" spans="1:56" x14ac:dyDescent="0.25">
      <c r="A277" s="48"/>
      <c r="B277" s="48"/>
      <c r="C277" s="48"/>
      <c r="D277" s="48"/>
      <c r="E277" s="48"/>
      <c r="F277" s="48"/>
      <c r="G277" s="48"/>
      <c r="H277" s="48"/>
      <c r="I277" s="48"/>
      <c r="J277" s="48"/>
      <c r="K277" s="48"/>
      <c r="L277" s="48"/>
      <c r="M277" s="48"/>
      <c r="N277" s="48"/>
      <c r="O277" s="48"/>
      <c r="P277" s="48"/>
      <c r="Q277" s="48"/>
      <c r="R277" s="48"/>
      <c r="S277" s="48"/>
      <c r="T277" s="48"/>
      <c r="U277" s="48"/>
      <c r="V277" s="48"/>
      <c r="W277" s="48"/>
      <c r="X277" s="48"/>
      <c r="Y277" s="48"/>
      <c r="Z277" s="48"/>
      <c r="AA277" s="48"/>
      <c r="AB277" s="48"/>
      <c r="AC277" s="48"/>
      <c r="AD277" s="48"/>
      <c r="AE277" s="48"/>
      <c r="AF277" s="48"/>
      <c r="AG277" s="48"/>
      <c r="AH277" s="48"/>
      <c r="AI277" s="48"/>
      <c r="AJ277" s="48"/>
      <c r="AK277" s="48"/>
      <c r="AL277" s="48"/>
      <c r="AM277" s="48"/>
      <c r="AN277" s="48"/>
      <c r="AO277" s="48"/>
      <c r="AP277" s="48"/>
      <c r="AQ277" s="48"/>
      <c r="AR277" s="48"/>
      <c r="AS277" s="48"/>
      <c r="AT277" s="48"/>
      <c r="AU277" s="48"/>
      <c r="AV277" s="48"/>
      <c r="AW277" s="48"/>
      <c r="AX277" s="48"/>
      <c r="AY277" s="48"/>
      <c r="AZ277" s="48"/>
      <c r="BA277" s="48"/>
      <c r="BB277" s="48"/>
      <c r="BC277" s="48"/>
      <c r="BD277" s="48"/>
    </row>
    <row r="278" spans="1:56" x14ac:dyDescent="0.25">
      <c r="A278" s="48"/>
      <c r="B278" s="48"/>
      <c r="C278" s="48"/>
      <c r="D278" s="48"/>
      <c r="E278" s="48"/>
      <c r="F278" s="48"/>
      <c r="G278" s="48"/>
      <c r="H278" s="48"/>
      <c r="I278" s="48"/>
      <c r="J278" s="48"/>
      <c r="K278" s="48"/>
      <c r="L278" s="48"/>
      <c r="M278" s="48"/>
      <c r="N278" s="48"/>
      <c r="O278" s="48"/>
      <c r="P278" s="48"/>
      <c r="Q278" s="48"/>
      <c r="R278" s="48"/>
      <c r="S278" s="48"/>
      <c r="T278" s="48"/>
      <c r="U278" s="48"/>
      <c r="V278" s="48"/>
      <c r="W278" s="48"/>
      <c r="X278" s="48"/>
      <c r="Y278" s="48"/>
      <c r="Z278" s="48"/>
      <c r="AA278" s="48"/>
      <c r="AB278" s="48"/>
      <c r="AC278" s="48"/>
      <c r="AD278" s="48"/>
      <c r="AE278" s="48"/>
      <c r="AF278" s="48"/>
      <c r="AG278" s="48"/>
      <c r="AH278" s="48"/>
      <c r="AI278" s="48"/>
      <c r="AJ278" s="48"/>
      <c r="AK278" s="48"/>
      <c r="AL278" s="48"/>
      <c r="AM278" s="48"/>
      <c r="AN278" s="48"/>
      <c r="AO278" s="48"/>
      <c r="AP278" s="48"/>
      <c r="AQ278" s="48"/>
      <c r="AR278" s="48"/>
      <c r="AS278" s="48"/>
      <c r="AT278" s="48"/>
      <c r="AU278" s="48"/>
      <c r="AV278" s="48"/>
      <c r="AW278" s="48"/>
      <c r="AX278" s="48"/>
      <c r="AY278" s="48"/>
      <c r="AZ278" s="48"/>
      <c r="BA278" s="48"/>
      <c r="BB278" s="48"/>
      <c r="BC278" s="48"/>
      <c r="BD278" s="48"/>
    </row>
    <row r="279" spans="1:56" x14ac:dyDescent="0.25">
      <c r="A279" s="48"/>
      <c r="B279" s="48"/>
      <c r="C279" s="48"/>
      <c r="D279" s="48"/>
      <c r="E279" s="48"/>
      <c r="F279" s="48"/>
      <c r="G279" s="48"/>
      <c r="H279" s="48"/>
      <c r="I279" s="48"/>
      <c r="J279" s="48"/>
      <c r="K279" s="48"/>
      <c r="L279" s="48"/>
      <c r="M279" s="48"/>
      <c r="N279" s="48"/>
      <c r="O279" s="48"/>
      <c r="P279" s="48"/>
      <c r="Q279" s="48"/>
      <c r="R279" s="48"/>
      <c r="S279" s="48"/>
      <c r="T279" s="48"/>
      <c r="U279" s="48"/>
      <c r="V279" s="48"/>
      <c r="W279" s="48"/>
      <c r="X279" s="48"/>
      <c r="Y279" s="48"/>
      <c r="Z279" s="48"/>
      <c r="AA279" s="48"/>
      <c r="AB279" s="48"/>
      <c r="AC279" s="48"/>
      <c r="AD279" s="48"/>
      <c r="AE279" s="48"/>
      <c r="AF279" s="48"/>
      <c r="AG279" s="48"/>
      <c r="AH279" s="48"/>
      <c r="AI279" s="48"/>
      <c r="AJ279" s="48"/>
      <c r="AK279" s="48"/>
      <c r="AL279" s="48"/>
      <c r="AM279" s="48"/>
      <c r="AN279" s="48"/>
      <c r="AO279" s="48"/>
      <c r="AP279" s="48"/>
      <c r="AQ279" s="48"/>
      <c r="AR279" s="48"/>
      <c r="AS279" s="48"/>
      <c r="AT279" s="48"/>
      <c r="AU279" s="48"/>
      <c r="AV279" s="48"/>
      <c r="AW279" s="48"/>
      <c r="AX279" s="48"/>
      <c r="AY279" s="48"/>
      <c r="AZ279" s="48"/>
      <c r="BA279" s="48"/>
      <c r="BB279" s="48"/>
      <c r="BC279" s="48"/>
      <c r="BD279" s="48"/>
    </row>
    <row r="280" spans="1:56" x14ac:dyDescent="0.25">
      <c r="A280" s="48"/>
      <c r="B280" s="48"/>
      <c r="C280" s="48"/>
      <c r="D280" s="48"/>
      <c r="E280" s="48"/>
      <c r="F280" s="48"/>
      <c r="G280" s="48"/>
      <c r="H280" s="48"/>
      <c r="I280" s="48"/>
      <c r="J280" s="48"/>
      <c r="K280" s="48"/>
      <c r="L280" s="48"/>
      <c r="M280" s="48"/>
      <c r="N280" s="48"/>
      <c r="O280" s="48"/>
      <c r="P280" s="48"/>
      <c r="Q280" s="48"/>
      <c r="R280" s="48"/>
      <c r="S280" s="48"/>
      <c r="T280" s="48"/>
      <c r="U280" s="48"/>
      <c r="V280" s="48"/>
      <c r="W280" s="48"/>
      <c r="X280" s="48"/>
      <c r="Y280" s="48"/>
      <c r="Z280" s="48"/>
      <c r="AA280" s="48"/>
      <c r="AB280" s="48"/>
      <c r="AC280" s="48"/>
      <c r="AD280" s="48"/>
      <c r="AE280" s="48"/>
      <c r="AF280" s="48"/>
      <c r="AG280" s="48"/>
      <c r="AH280" s="48"/>
      <c r="AI280" s="48"/>
      <c r="AJ280" s="48"/>
      <c r="AK280" s="48"/>
      <c r="AL280" s="48"/>
      <c r="AM280" s="48"/>
      <c r="AN280" s="48"/>
      <c r="AO280" s="48"/>
      <c r="AP280" s="48"/>
      <c r="AQ280" s="48"/>
      <c r="AR280" s="48"/>
      <c r="AS280" s="48"/>
      <c r="AT280" s="48"/>
      <c r="AU280" s="48"/>
      <c r="AV280" s="48"/>
      <c r="AW280" s="48"/>
      <c r="AX280" s="48"/>
      <c r="AY280" s="48"/>
      <c r="AZ280" s="48"/>
      <c r="BA280" s="48"/>
      <c r="BB280" s="48"/>
      <c r="BC280" s="48"/>
      <c r="BD280" s="48"/>
    </row>
    <row r="281" spans="1:56" x14ac:dyDescent="0.25">
      <c r="A281" s="48"/>
      <c r="B281" s="48"/>
      <c r="C281" s="48"/>
      <c r="D281" s="48"/>
      <c r="E281" s="48"/>
      <c r="F281" s="48"/>
      <c r="G281" s="48"/>
      <c r="H281" s="48"/>
      <c r="I281" s="48"/>
      <c r="J281" s="48"/>
      <c r="K281" s="48"/>
      <c r="L281" s="48"/>
      <c r="M281" s="48"/>
      <c r="N281" s="48"/>
      <c r="O281" s="48"/>
      <c r="P281" s="48"/>
      <c r="Q281" s="48"/>
      <c r="R281" s="48"/>
      <c r="S281" s="48"/>
      <c r="T281" s="48"/>
      <c r="U281" s="48"/>
      <c r="V281" s="48"/>
      <c r="W281" s="48"/>
      <c r="X281" s="48"/>
      <c r="Y281" s="48"/>
      <c r="Z281" s="48"/>
      <c r="AA281" s="48"/>
      <c r="AB281" s="48"/>
      <c r="AC281" s="48"/>
      <c r="AD281" s="48"/>
      <c r="AE281" s="48"/>
      <c r="AF281" s="48"/>
      <c r="AG281" s="48"/>
      <c r="AH281" s="48"/>
      <c r="AI281" s="48"/>
      <c r="AJ281" s="48"/>
      <c r="AK281" s="48"/>
      <c r="AL281" s="48"/>
      <c r="AM281" s="48"/>
      <c r="AN281" s="48"/>
      <c r="AO281" s="48"/>
      <c r="AP281" s="48"/>
      <c r="AQ281" s="48"/>
      <c r="AR281" s="48"/>
      <c r="AS281" s="48"/>
      <c r="AT281" s="48"/>
      <c r="AU281" s="48"/>
      <c r="AV281" s="48"/>
      <c r="AW281" s="48"/>
      <c r="AX281" s="48"/>
      <c r="AY281" s="48"/>
      <c r="AZ281" s="48"/>
      <c r="BA281" s="48"/>
      <c r="BB281" s="48"/>
      <c r="BC281" s="48"/>
      <c r="BD281" s="48"/>
    </row>
    <row r="282" spans="1:56" x14ac:dyDescent="0.25">
      <c r="A282" s="48"/>
      <c r="B282" s="48"/>
      <c r="C282" s="48"/>
      <c r="D282" s="48"/>
      <c r="E282" s="48"/>
      <c r="F282" s="48"/>
      <c r="G282" s="48"/>
      <c r="H282" s="48"/>
      <c r="I282" s="48"/>
      <c r="J282" s="48"/>
      <c r="K282" s="48"/>
      <c r="L282" s="48"/>
      <c r="M282" s="48"/>
      <c r="N282" s="48"/>
      <c r="O282" s="48"/>
      <c r="P282" s="48"/>
      <c r="Q282" s="48"/>
      <c r="R282" s="48"/>
      <c r="S282" s="48"/>
      <c r="T282" s="48"/>
      <c r="U282" s="48"/>
      <c r="V282" s="48"/>
      <c r="W282" s="48"/>
      <c r="X282" s="48"/>
      <c r="Y282" s="48"/>
      <c r="Z282" s="48"/>
      <c r="AA282" s="48"/>
      <c r="AB282" s="48"/>
      <c r="AC282" s="48"/>
      <c r="AD282" s="48"/>
      <c r="AE282" s="48"/>
      <c r="AF282" s="48"/>
      <c r="AG282" s="48"/>
      <c r="AH282" s="48"/>
      <c r="AI282" s="48"/>
      <c r="AJ282" s="48"/>
      <c r="AK282" s="48"/>
      <c r="AL282" s="48"/>
      <c r="AM282" s="48"/>
      <c r="AN282" s="48"/>
      <c r="AO282" s="48"/>
      <c r="AP282" s="48"/>
      <c r="AQ282" s="48"/>
      <c r="AR282" s="48"/>
      <c r="AS282" s="48"/>
      <c r="AT282" s="48"/>
      <c r="AU282" s="48"/>
      <c r="AV282" s="48"/>
      <c r="AW282" s="48"/>
      <c r="AX282" s="48"/>
      <c r="AY282" s="48"/>
      <c r="AZ282" s="48"/>
      <c r="BA282" s="48"/>
      <c r="BB282" s="48"/>
      <c r="BC282" s="48"/>
      <c r="BD282" s="48"/>
    </row>
    <row r="283" spans="1:56" x14ac:dyDescent="0.25">
      <c r="A283" s="48"/>
      <c r="B283" s="48"/>
      <c r="C283" s="48"/>
      <c r="D283" s="48"/>
      <c r="E283" s="48"/>
      <c r="F283" s="48"/>
      <c r="G283" s="48"/>
      <c r="H283" s="48"/>
      <c r="I283" s="48"/>
      <c r="J283" s="48"/>
      <c r="K283" s="48"/>
      <c r="L283" s="48"/>
      <c r="M283" s="48"/>
      <c r="N283" s="48"/>
      <c r="O283" s="48"/>
      <c r="P283" s="48"/>
      <c r="Q283" s="48"/>
      <c r="R283" s="48"/>
      <c r="S283" s="48"/>
      <c r="T283" s="48"/>
      <c r="U283" s="48"/>
      <c r="V283" s="48"/>
      <c r="W283" s="48"/>
      <c r="X283" s="48"/>
      <c r="Y283" s="48"/>
      <c r="Z283" s="48"/>
      <c r="AA283" s="48"/>
      <c r="AB283" s="48"/>
      <c r="AC283" s="48"/>
      <c r="AD283" s="48"/>
      <c r="AE283" s="48"/>
      <c r="AF283" s="48"/>
      <c r="AG283" s="48"/>
      <c r="AH283" s="48"/>
      <c r="AI283" s="48"/>
      <c r="AJ283" s="48"/>
      <c r="AK283" s="48"/>
      <c r="AL283" s="48"/>
      <c r="AM283" s="48"/>
      <c r="AN283" s="48"/>
      <c r="AO283" s="48"/>
      <c r="AP283" s="48"/>
      <c r="AQ283" s="48"/>
      <c r="AR283" s="48"/>
      <c r="AS283" s="48"/>
      <c r="AT283" s="48"/>
      <c r="AU283" s="48"/>
      <c r="AV283" s="48"/>
      <c r="AW283" s="48"/>
      <c r="AX283" s="48"/>
      <c r="AY283" s="48"/>
      <c r="AZ283" s="48"/>
      <c r="BA283" s="48"/>
      <c r="BB283" s="48"/>
      <c r="BC283" s="48"/>
      <c r="BD283" s="48"/>
    </row>
    <row r="284" spans="1:56" x14ac:dyDescent="0.25">
      <c r="A284" s="48"/>
      <c r="B284" s="48"/>
      <c r="C284" s="48"/>
      <c r="D284" s="48"/>
      <c r="E284" s="48"/>
      <c r="F284" s="48"/>
      <c r="G284" s="48"/>
      <c r="H284" s="48"/>
      <c r="I284" s="48"/>
      <c r="J284" s="48"/>
      <c r="K284" s="48"/>
      <c r="L284" s="48"/>
      <c r="M284" s="48"/>
      <c r="N284" s="48"/>
      <c r="O284" s="48"/>
      <c r="P284" s="48"/>
      <c r="Q284" s="48"/>
      <c r="R284" s="48"/>
      <c r="S284" s="48"/>
      <c r="T284" s="48"/>
      <c r="U284" s="48"/>
      <c r="V284" s="48"/>
      <c r="W284" s="48"/>
      <c r="X284" s="48"/>
      <c r="Y284" s="48"/>
      <c r="Z284" s="48"/>
      <c r="AA284" s="48"/>
      <c r="AB284" s="48"/>
      <c r="AC284" s="48"/>
      <c r="AD284" s="48"/>
      <c r="AE284" s="48"/>
      <c r="AF284" s="48"/>
      <c r="AG284" s="48"/>
      <c r="AH284" s="48"/>
      <c r="AI284" s="48"/>
      <c r="AJ284" s="48"/>
      <c r="AK284" s="48"/>
      <c r="AL284" s="48"/>
      <c r="AM284" s="48"/>
      <c r="AN284" s="48"/>
      <c r="AO284" s="48"/>
      <c r="AP284" s="48"/>
      <c r="AQ284" s="48"/>
      <c r="AR284" s="48"/>
      <c r="AS284" s="48"/>
      <c r="AT284" s="48"/>
      <c r="AU284" s="48"/>
      <c r="AV284" s="48"/>
      <c r="AW284" s="48"/>
      <c r="AX284" s="48"/>
      <c r="AY284" s="48"/>
      <c r="AZ284" s="48"/>
      <c r="BA284" s="48"/>
      <c r="BB284" s="48"/>
      <c r="BC284" s="48"/>
      <c r="BD284" s="48"/>
    </row>
    <row r="285" spans="1:56" x14ac:dyDescent="0.25">
      <c r="A285" s="48"/>
      <c r="B285" s="48"/>
      <c r="C285" s="48"/>
      <c r="D285" s="48"/>
      <c r="E285" s="48"/>
      <c r="F285" s="48"/>
      <c r="G285" s="48"/>
      <c r="H285" s="48"/>
      <c r="I285" s="48"/>
      <c r="J285" s="48"/>
      <c r="K285" s="48"/>
      <c r="L285" s="48"/>
      <c r="M285" s="48"/>
      <c r="N285" s="48"/>
      <c r="O285" s="48"/>
      <c r="P285" s="48"/>
      <c r="Q285" s="48"/>
      <c r="R285" s="48"/>
      <c r="S285" s="48"/>
      <c r="T285" s="48"/>
      <c r="U285" s="48"/>
      <c r="V285" s="48"/>
      <c r="W285" s="48"/>
      <c r="X285" s="48"/>
      <c r="Y285" s="48"/>
      <c r="Z285" s="48"/>
      <c r="AA285" s="48"/>
      <c r="AB285" s="48"/>
      <c r="AC285" s="48"/>
      <c r="AD285" s="48"/>
      <c r="AE285" s="48"/>
      <c r="AF285" s="48"/>
      <c r="AG285" s="48"/>
      <c r="AH285" s="48"/>
      <c r="AI285" s="48"/>
      <c r="AJ285" s="48"/>
      <c r="AK285" s="48"/>
      <c r="AL285" s="48"/>
      <c r="AM285" s="48"/>
      <c r="AN285" s="48"/>
      <c r="AO285" s="48"/>
      <c r="AP285" s="48"/>
      <c r="AQ285" s="48"/>
      <c r="AR285" s="48"/>
      <c r="AS285" s="48"/>
      <c r="AT285" s="48"/>
      <c r="AU285" s="48"/>
      <c r="AV285" s="48"/>
      <c r="AW285" s="48"/>
      <c r="AX285" s="48"/>
      <c r="AY285" s="48"/>
      <c r="AZ285" s="48"/>
      <c r="BA285" s="48"/>
      <c r="BB285" s="48"/>
      <c r="BC285" s="48"/>
      <c r="BD285" s="48"/>
    </row>
    <row r="286" spans="1:56" x14ac:dyDescent="0.25">
      <c r="A286" s="48"/>
      <c r="B286" s="48"/>
      <c r="C286" s="48"/>
      <c r="D286" s="48"/>
      <c r="E286" s="48"/>
      <c r="F286" s="48"/>
      <c r="G286" s="48"/>
      <c r="H286" s="48"/>
      <c r="I286" s="48"/>
      <c r="J286" s="48"/>
      <c r="K286" s="48"/>
      <c r="L286" s="48"/>
      <c r="M286" s="48"/>
      <c r="N286" s="48"/>
      <c r="O286" s="48"/>
      <c r="P286" s="48"/>
      <c r="Q286" s="48"/>
      <c r="R286" s="48"/>
      <c r="S286" s="48"/>
      <c r="T286" s="48"/>
      <c r="U286" s="48"/>
      <c r="V286" s="48"/>
      <c r="W286" s="48"/>
      <c r="X286" s="48"/>
      <c r="Y286" s="48"/>
      <c r="Z286" s="48"/>
      <c r="AA286" s="48"/>
      <c r="AB286" s="48"/>
      <c r="AC286" s="48"/>
      <c r="AD286" s="48"/>
      <c r="AE286" s="48"/>
      <c r="AF286" s="48"/>
      <c r="AG286" s="48"/>
      <c r="AH286" s="48"/>
      <c r="AI286" s="48"/>
      <c r="AJ286" s="48"/>
      <c r="AK286" s="48"/>
      <c r="AL286" s="48"/>
      <c r="AM286" s="48"/>
      <c r="AN286" s="48"/>
      <c r="AO286" s="48"/>
      <c r="AP286" s="48"/>
      <c r="AQ286" s="48"/>
      <c r="AR286" s="48"/>
      <c r="AS286" s="48"/>
      <c r="AT286" s="48"/>
      <c r="AU286" s="48"/>
      <c r="AV286" s="48"/>
      <c r="AW286" s="48"/>
      <c r="AX286" s="48"/>
      <c r="AY286" s="48"/>
      <c r="AZ286" s="48"/>
      <c r="BA286" s="48"/>
      <c r="BB286" s="48"/>
      <c r="BC286" s="48"/>
      <c r="BD286" s="48"/>
    </row>
    <row r="287" spans="1:56" x14ac:dyDescent="0.25">
      <c r="A287" s="48"/>
      <c r="B287" s="48"/>
      <c r="C287" s="48"/>
      <c r="D287" s="48"/>
      <c r="E287" s="48"/>
      <c r="F287" s="48"/>
      <c r="G287" s="48"/>
      <c r="H287" s="48"/>
      <c r="I287" s="48"/>
      <c r="J287" s="48"/>
      <c r="K287" s="48"/>
      <c r="L287" s="48"/>
      <c r="M287" s="48"/>
      <c r="N287" s="48"/>
      <c r="O287" s="48"/>
      <c r="P287" s="48"/>
      <c r="Q287" s="48"/>
      <c r="R287" s="48"/>
      <c r="S287" s="48"/>
      <c r="T287" s="48"/>
      <c r="U287" s="48"/>
      <c r="V287" s="48"/>
      <c r="W287" s="48"/>
      <c r="X287" s="48"/>
      <c r="Y287" s="48"/>
      <c r="Z287" s="48"/>
      <c r="AA287" s="48"/>
      <c r="AB287" s="48"/>
      <c r="AC287" s="48"/>
      <c r="AD287" s="48"/>
      <c r="AE287" s="48"/>
      <c r="AF287" s="48"/>
      <c r="AG287" s="48"/>
      <c r="AH287" s="48"/>
      <c r="AI287" s="48"/>
      <c r="AJ287" s="48"/>
      <c r="AK287" s="48"/>
      <c r="AL287" s="48"/>
      <c r="AM287" s="48"/>
      <c r="AN287" s="48"/>
      <c r="AO287" s="48"/>
      <c r="AP287" s="48"/>
      <c r="AQ287" s="48"/>
      <c r="AR287" s="48"/>
      <c r="AS287" s="48"/>
      <c r="AT287" s="48"/>
      <c r="AU287" s="48"/>
      <c r="AV287" s="48"/>
      <c r="AW287" s="48"/>
      <c r="AX287" s="48"/>
      <c r="AY287" s="48"/>
      <c r="AZ287" s="48"/>
      <c r="BA287" s="48"/>
      <c r="BB287" s="48"/>
      <c r="BC287" s="48"/>
      <c r="BD287" s="48"/>
    </row>
    <row r="288" spans="1:56" x14ac:dyDescent="0.25">
      <c r="A288" s="48"/>
      <c r="B288" s="48"/>
      <c r="C288" s="48"/>
      <c r="D288" s="48"/>
      <c r="E288" s="48"/>
      <c r="F288" s="48"/>
      <c r="G288" s="48"/>
      <c r="H288" s="48"/>
      <c r="I288" s="48"/>
      <c r="J288" s="48"/>
      <c r="K288" s="48"/>
      <c r="L288" s="48"/>
      <c r="M288" s="48"/>
      <c r="N288" s="48"/>
      <c r="O288" s="48"/>
      <c r="P288" s="48"/>
      <c r="Q288" s="48"/>
      <c r="R288" s="48"/>
      <c r="S288" s="48"/>
      <c r="T288" s="48"/>
      <c r="U288" s="48"/>
      <c r="V288" s="48"/>
      <c r="W288" s="48"/>
      <c r="X288" s="48"/>
      <c r="Y288" s="48"/>
      <c r="Z288" s="48"/>
      <c r="AA288" s="48"/>
      <c r="AB288" s="48"/>
      <c r="AC288" s="48"/>
      <c r="AD288" s="48"/>
      <c r="AE288" s="48"/>
      <c r="AF288" s="48"/>
      <c r="AG288" s="48"/>
      <c r="AH288" s="48"/>
      <c r="AI288" s="48"/>
      <c r="AJ288" s="48"/>
      <c r="AK288" s="48"/>
      <c r="AL288" s="48"/>
      <c r="AM288" s="48"/>
      <c r="AN288" s="48"/>
      <c r="AO288" s="48"/>
      <c r="AP288" s="48"/>
      <c r="AQ288" s="48"/>
      <c r="AR288" s="48"/>
      <c r="AS288" s="48"/>
      <c r="AT288" s="48"/>
      <c r="AU288" s="48"/>
      <c r="AV288" s="48"/>
      <c r="AW288" s="48"/>
      <c r="AX288" s="48"/>
      <c r="AY288" s="48"/>
      <c r="AZ288" s="48"/>
      <c r="BA288" s="48"/>
      <c r="BB288" s="48"/>
      <c r="BC288" s="48"/>
      <c r="BD288" s="48"/>
    </row>
    <row r="289" spans="1:56" x14ac:dyDescent="0.25">
      <c r="A289" s="48"/>
      <c r="B289" s="48"/>
      <c r="C289" s="48"/>
      <c r="D289" s="48"/>
      <c r="E289" s="48"/>
      <c r="F289" s="48"/>
      <c r="G289" s="48"/>
      <c r="H289" s="48"/>
      <c r="I289" s="48"/>
      <c r="J289" s="48"/>
      <c r="K289" s="48"/>
      <c r="L289" s="48"/>
      <c r="M289" s="48"/>
      <c r="N289" s="48"/>
      <c r="O289" s="48"/>
      <c r="P289" s="48"/>
      <c r="Q289" s="48"/>
      <c r="R289" s="48"/>
      <c r="S289" s="48"/>
      <c r="T289" s="48"/>
      <c r="U289" s="48"/>
      <c r="V289" s="48"/>
      <c r="W289" s="48"/>
      <c r="X289" s="48"/>
      <c r="Y289" s="48"/>
      <c r="Z289" s="48"/>
      <c r="AA289" s="48"/>
      <c r="AB289" s="48"/>
      <c r="AC289" s="48"/>
      <c r="AD289" s="48"/>
      <c r="AE289" s="48"/>
      <c r="AF289" s="48"/>
      <c r="AG289" s="48"/>
      <c r="AH289" s="48"/>
      <c r="AI289" s="48"/>
      <c r="AJ289" s="48"/>
      <c r="AK289" s="48"/>
      <c r="AL289" s="48"/>
      <c r="AM289" s="48"/>
      <c r="AN289" s="48"/>
      <c r="AO289" s="48"/>
      <c r="AP289" s="48"/>
      <c r="AQ289" s="48"/>
      <c r="AR289" s="48"/>
      <c r="AS289" s="48"/>
      <c r="AT289" s="48"/>
      <c r="AU289" s="48"/>
      <c r="AV289" s="48"/>
      <c r="AW289" s="48"/>
      <c r="AX289" s="48"/>
      <c r="AY289" s="48"/>
      <c r="AZ289" s="48"/>
      <c r="BA289" s="48"/>
      <c r="BB289" s="48"/>
      <c r="BC289" s="48"/>
      <c r="BD289" s="48"/>
    </row>
    <row r="290" spans="1:56" x14ac:dyDescent="0.25">
      <c r="A290" s="48"/>
      <c r="B290" s="48"/>
      <c r="C290" s="48"/>
      <c r="D290" s="48"/>
      <c r="E290" s="48"/>
      <c r="F290" s="48"/>
      <c r="G290" s="48"/>
      <c r="H290" s="48"/>
      <c r="I290" s="48"/>
      <c r="J290" s="48"/>
      <c r="K290" s="48"/>
      <c r="L290" s="48"/>
      <c r="M290" s="48"/>
      <c r="N290" s="48"/>
      <c r="O290" s="48"/>
      <c r="P290" s="48"/>
      <c r="Q290" s="48"/>
      <c r="R290" s="48"/>
      <c r="S290" s="48"/>
      <c r="T290" s="48"/>
      <c r="U290" s="48"/>
      <c r="V290" s="48"/>
      <c r="W290" s="48"/>
      <c r="X290" s="48"/>
      <c r="Y290" s="48"/>
      <c r="Z290" s="48"/>
      <c r="AA290" s="48"/>
      <c r="AB290" s="48"/>
      <c r="AC290" s="48"/>
      <c r="AD290" s="48"/>
      <c r="AE290" s="48"/>
      <c r="AF290" s="48"/>
      <c r="AG290" s="48"/>
      <c r="AH290" s="48"/>
      <c r="AI290" s="48"/>
      <c r="AJ290" s="48"/>
      <c r="AK290" s="48"/>
      <c r="AL290" s="48"/>
      <c r="AM290" s="48"/>
      <c r="AN290" s="48"/>
      <c r="AO290" s="48"/>
      <c r="AP290" s="48"/>
      <c r="AQ290" s="48"/>
      <c r="AR290" s="48"/>
      <c r="AS290" s="48"/>
      <c r="AT290" s="48"/>
      <c r="AU290" s="48"/>
      <c r="AV290" s="48"/>
      <c r="AW290" s="48"/>
      <c r="AX290" s="48"/>
      <c r="AY290" s="48"/>
      <c r="AZ290" s="48"/>
      <c r="BA290" s="48"/>
      <c r="BB290" s="48"/>
      <c r="BC290" s="48"/>
      <c r="BD290" s="48"/>
    </row>
    <row r="291" spans="1:56" x14ac:dyDescent="0.25">
      <c r="A291" s="48"/>
      <c r="B291" s="48"/>
      <c r="C291" s="48"/>
      <c r="D291" s="48"/>
      <c r="E291" s="48"/>
      <c r="F291" s="48"/>
      <c r="G291" s="48"/>
      <c r="H291" s="48"/>
      <c r="I291" s="48"/>
      <c r="J291" s="48"/>
      <c r="K291" s="48"/>
      <c r="L291" s="48"/>
      <c r="M291" s="48"/>
      <c r="N291" s="48"/>
      <c r="O291" s="48"/>
      <c r="P291" s="48"/>
      <c r="Q291" s="48"/>
      <c r="R291" s="48"/>
      <c r="S291" s="48"/>
      <c r="T291" s="48"/>
      <c r="U291" s="48"/>
      <c r="V291" s="48"/>
      <c r="W291" s="48"/>
      <c r="X291" s="48"/>
      <c r="Y291" s="48"/>
      <c r="Z291" s="48"/>
      <c r="AA291" s="48"/>
      <c r="AB291" s="48"/>
      <c r="AC291" s="48"/>
      <c r="AD291" s="48"/>
      <c r="AE291" s="48"/>
      <c r="AF291" s="48"/>
      <c r="AG291" s="48"/>
      <c r="AH291" s="48"/>
      <c r="AI291" s="48"/>
      <c r="AJ291" s="48"/>
      <c r="AK291" s="48"/>
      <c r="AL291" s="48"/>
      <c r="AM291" s="48"/>
      <c r="AN291" s="48"/>
      <c r="AO291" s="48"/>
      <c r="AP291" s="48"/>
      <c r="AQ291" s="48"/>
      <c r="AR291" s="48"/>
      <c r="AS291" s="48"/>
      <c r="AT291" s="48"/>
      <c r="AU291" s="48"/>
      <c r="AV291" s="48"/>
      <c r="AW291" s="48"/>
      <c r="AX291" s="48"/>
      <c r="AY291" s="48"/>
      <c r="AZ291" s="48"/>
      <c r="BA291" s="48"/>
      <c r="BB291" s="48"/>
      <c r="BC291" s="48"/>
      <c r="BD291" s="48"/>
    </row>
    <row r="292" spans="1:56" x14ac:dyDescent="0.25">
      <c r="A292" s="48"/>
      <c r="B292" s="48"/>
      <c r="C292" s="48"/>
      <c r="D292" s="48"/>
      <c r="E292" s="48"/>
      <c r="F292" s="48"/>
      <c r="G292" s="48"/>
      <c r="H292" s="48"/>
      <c r="I292" s="48"/>
      <c r="J292" s="48"/>
      <c r="K292" s="48"/>
      <c r="L292" s="48"/>
      <c r="M292" s="48"/>
      <c r="N292" s="48"/>
      <c r="O292" s="48"/>
      <c r="P292" s="48"/>
      <c r="Q292" s="48"/>
      <c r="R292" s="48"/>
      <c r="S292" s="48"/>
      <c r="T292" s="48"/>
      <c r="U292" s="48"/>
      <c r="V292" s="48"/>
      <c r="W292" s="48"/>
      <c r="X292" s="48"/>
      <c r="Y292" s="48"/>
      <c r="Z292" s="48"/>
      <c r="AA292" s="48"/>
      <c r="AB292" s="48"/>
      <c r="AC292" s="48"/>
      <c r="AD292" s="48"/>
      <c r="AE292" s="48"/>
      <c r="AF292" s="48"/>
      <c r="AG292" s="48"/>
      <c r="AH292" s="48"/>
      <c r="AI292" s="48"/>
      <c r="AJ292" s="48"/>
      <c r="AK292" s="48"/>
      <c r="AL292" s="48"/>
      <c r="AM292" s="48"/>
      <c r="AN292" s="48"/>
      <c r="AO292" s="48"/>
      <c r="AP292" s="48"/>
      <c r="AQ292" s="48"/>
      <c r="AR292" s="48"/>
      <c r="AS292" s="48"/>
      <c r="AT292" s="48"/>
      <c r="AU292" s="48"/>
      <c r="AV292" s="48"/>
      <c r="AW292" s="48"/>
      <c r="AX292" s="48"/>
      <c r="AY292" s="48"/>
      <c r="AZ292" s="48"/>
      <c r="BA292" s="48"/>
      <c r="BB292" s="48"/>
      <c r="BC292" s="48"/>
      <c r="BD292" s="48"/>
    </row>
    <row r="293" spans="1:56" x14ac:dyDescent="0.25">
      <c r="A293" s="48"/>
      <c r="B293" s="48"/>
      <c r="C293" s="48"/>
      <c r="D293" s="48"/>
      <c r="E293" s="48"/>
      <c r="F293" s="48"/>
      <c r="G293" s="48"/>
      <c r="H293" s="48"/>
      <c r="I293" s="48"/>
      <c r="J293" s="48"/>
      <c r="K293" s="48"/>
      <c r="L293" s="48"/>
      <c r="M293" s="48"/>
      <c r="N293" s="48"/>
      <c r="O293" s="48"/>
      <c r="P293" s="48"/>
      <c r="Q293" s="48"/>
      <c r="R293" s="48"/>
      <c r="S293" s="48"/>
      <c r="T293" s="48"/>
      <c r="U293" s="48"/>
      <c r="V293" s="48"/>
      <c r="W293" s="48"/>
      <c r="X293" s="48"/>
      <c r="Y293" s="48"/>
      <c r="Z293" s="48"/>
      <c r="AA293" s="48"/>
      <c r="AB293" s="48"/>
      <c r="AC293" s="48"/>
      <c r="AD293" s="48"/>
      <c r="AE293" s="48"/>
      <c r="AF293" s="48"/>
      <c r="AG293" s="48"/>
      <c r="AH293" s="48"/>
      <c r="AI293" s="48"/>
      <c r="AJ293" s="48"/>
      <c r="AK293" s="48"/>
      <c r="AL293" s="48"/>
      <c r="AM293" s="48"/>
      <c r="AN293" s="48"/>
      <c r="AO293" s="48"/>
      <c r="AP293" s="48"/>
      <c r="AQ293" s="48"/>
      <c r="AR293" s="48"/>
      <c r="AS293" s="48"/>
      <c r="AT293" s="48"/>
      <c r="AU293" s="48"/>
      <c r="AV293" s="48"/>
      <c r="AW293" s="48"/>
      <c r="AX293" s="48"/>
      <c r="AY293" s="48"/>
      <c r="AZ293" s="48"/>
      <c r="BA293" s="48"/>
      <c r="BB293" s="48"/>
      <c r="BC293" s="48"/>
      <c r="BD293" s="48"/>
    </row>
    <row r="294" spans="1:56" x14ac:dyDescent="0.25">
      <c r="A294" s="48"/>
      <c r="B294" s="48"/>
      <c r="C294" s="48"/>
      <c r="D294" s="48"/>
      <c r="E294" s="48"/>
      <c r="F294" s="48"/>
      <c r="G294" s="48"/>
      <c r="H294" s="48"/>
      <c r="I294" s="48"/>
      <c r="J294" s="48"/>
      <c r="K294" s="48"/>
      <c r="L294" s="48"/>
      <c r="M294" s="48"/>
      <c r="N294" s="48"/>
      <c r="O294" s="48"/>
      <c r="P294" s="48"/>
      <c r="Q294" s="48"/>
      <c r="R294" s="48"/>
      <c r="S294" s="48"/>
      <c r="T294" s="48"/>
      <c r="U294" s="48"/>
      <c r="V294" s="48"/>
      <c r="W294" s="48"/>
      <c r="X294" s="48"/>
      <c r="Y294" s="48"/>
      <c r="Z294" s="48"/>
      <c r="AA294" s="48"/>
      <c r="AB294" s="48"/>
      <c r="AC294" s="48"/>
      <c r="AD294" s="48"/>
      <c r="AE294" s="48"/>
      <c r="AF294" s="48"/>
      <c r="AG294" s="48"/>
      <c r="AH294" s="48"/>
      <c r="AI294" s="48"/>
      <c r="AJ294" s="48"/>
      <c r="AK294" s="48"/>
      <c r="AL294" s="48"/>
      <c r="AM294" s="48"/>
      <c r="AN294" s="48"/>
      <c r="AO294" s="48"/>
      <c r="AP294" s="48"/>
      <c r="AQ294" s="48"/>
      <c r="AR294" s="48"/>
      <c r="AS294" s="48"/>
      <c r="AT294" s="48"/>
      <c r="AU294" s="48"/>
      <c r="AV294" s="48"/>
      <c r="AW294" s="48"/>
      <c r="AX294" s="48"/>
      <c r="AY294" s="48"/>
      <c r="AZ294" s="48"/>
      <c r="BA294" s="48"/>
      <c r="BB294" s="48"/>
      <c r="BC294" s="48"/>
      <c r="BD294" s="48"/>
    </row>
    <row r="295" spans="1:56" x14ac:dyDescent="0.25">
      <c r="A295" s="48"/>
      <c r="B295" s="48"/>
      <c r="C295" s="48"/>
      <c r="D295" s="48"/>
      <c r="E295" s="48"/>
      <c r="F295" s="48"/>
      <c r="G295" s="48"/>
      <c r="H295" s="48"/>
      <c r="I295" s="48"/>
      <c r="J295" s="48"/>
      <c r="K295" s="48"/>
      <c r="L295" s="48"/>
      <c r="M295" s="48"/>
      <c r="N295" s="48"/>
      <c r="O295" s="48"/>
      <c r="P295" s="48"/>
      <c r="Q295" s="48"/>
      <c r="R295" s="48"/>
      <c r="S295" s="48"/>
      <c r="T295" s="48"/>
      <c r="U295" s="48"/>
      <c r="V295" s="48"/>
      <c r="W295" s="48"/>
      <c r="X295" s="48"/>
      <c r="Y295" s="48"/>
      <c r="Z295" s="48"/>
      <c r="AA295" s="48"/>
      <c r="AB295" s="48"/>
      <c r="AC295" s="48"/>
      <c r="AD295" s="48"/>
      <c r="AE295" s="48"/>
      <c r="AF295" s="48"/>
      <c r="AG295" s="48"/>
      <c r="AH295" s="48"/>
      <c r="AI295" s="48"/>
      <c r="AJ295" s="48"/>
      <c r="AK295" s="48"/>
      <c r="AL295" s="48"/>
      <c r="AM295" s="48"/>
      <c r="AN295" s="48"/>
      <c r="AO295" s="48"/>
      <c r="AP295" s="48"/>
      <c r="AQ295" s="48"/>
      <c r="AR295" s="48"/>
      <c r="AS295" s="48"/>
      <c r="AT295" s="48"/>
      <c r="AU295" s="48"/>
      <c r="AV295" s="48"/>
      <c r="AW295" s="48"/>
      <c r="AX295" s="48"/>
      <c r="AY295" s="48"/>
      <c r="AZ295" s="48"/>
      <c r="BA295" s="48"/>
      <c r="BB295" s="48"/>
      <c r="BC295" s="48"/>
      <c r="BD295" s="48"/>
    </row>
    <row r="296" spans="1:56" x14ac:dyDescent="0.25">
      <c r="A296" s="48"/>
      <c r="B296" s="48"/>
      <c r="C296" s="48"/>
      <c r="D296" s="48"/>
      <c r="E296" s="48"/>
      <c r="F296" s="48"/>
      <c r="G296" s="48"/>
      <c r="H296" s="48"/>
      <c r="I296" s="48"/>
      <c r="J296" s="48"/>
      <c r="K296" s="48"/>
      <c r="L296" s="48"/>
      <c r="M296" s="48"/>
      <c r="N296" s="48"/>
      <c r="O296" s="48"/>
      <c r="P296" s="48"/>
      <c r="Q296" s="48"/>
      <c r="R296" s="48"/>
      <c r="S296" s="48"/>
      <c r="T296" s="48"/>
      <c r="U296" s="48"/>
      <c r="V296" s="48"/>
      <c r="W296" s="48"/>
      <c r="X296" s="48"/>
      <c r="Y296" s="48"/>
      <c r="Z296" s="48"/>
      <c r="AA296" s="48"/>
      <c r="AB296" s="48"/>
      <c r="AC296" s="48"/>
      <c r="AD296" s="48"/>
      <c r="AE296" s="48"/>
      <c r="AF296" s="48"/>
      <c r="AG296" s="48"/>
      <c r="AH296" s="48"/>
      <c r="AI296" s="48"/>
      <c r="AJ296" s="48"/>
      <c r="AK296" s="48"/>
      <c r="AL296" s="48"/>
      <c r="AM296" s="48"/>
      <c r="AN296" s="48"/>
      <c r="AO296" s="48"/>
      <c r="AP296" s="48"/>
      <c r="AQ296" s="48"/>
      <c r="AR296" s="48"/>
      <c r="AS296" s="48"/>
      <c r="AT296" s="48"/>
      <c r="AU296" s="48"/>
      <c r="AV296" s="48"/>
      <c r="AW296" s="48"/>
      <c r="AX296" s="48"/>
      <c r="AY296" s="48"/>
      <c r="AZ296" s="48"/>
      <c r="BA296" s="48"/>
      <c r="BB296" s="48"/>
      <c r="BC296" s="48"/>
      <c r="BD296" s="48"/>
    </row>
    <row r="297" spans="1:56" x14ac:dyDescent="0.25">
      <c r="A297" s="48"/>
      <c r="B297" s="48"/>
      <c r="C297" s="48"/>
      <c r="D297" s="48"/>
      <c r="E297" s="48"/>
      <c r="F297" s="48"/>
      <c r="G297" s="48"/>
      <c r="H297" s="48"/>
      <c r="I297" s="48"/>
      <c r="J297" s="48"/>
      <c r="K297" s="48"/>
      <c r="L297" s="48"/>
      <c r="M297" s="48"/>
      <c r="N297" s="48"/>
      <c r="O297" s="48"/>
      <c r="P297" s="48"/>
      <c r="Q297" s="48"/>
      <c r="R297" s="48"/>
      <c r="S297" s="48"/>
      <c r="T297" s="48"/>
      <c r="U297" s="48"/>
      <c r="V297" s="48"/>
      <c r="W297" s="48"/>
      <c r="X297" s="48"/>
      <c r="Y297" s="48"/>
      <c r="Z297" s="48"/>
      <c r="AA297" s="48"/>
      <c r="AB297" s="48"/>
      <c r="AC297" s="48"/>
      <c r="AD297" s="48"/>
      <c r="AE297" s="48"/>
      <c r="AF297" s="48"/>
      <c r="AG297" s="48"/>
      <c r="AH297" s="48"/>
      <c r="AI297" s="48"/>
      <c r="AJ297" s="48"/>
      <c r="AK297" s="48"/>
      <c r="AL297" s="48"/>
      <c r="AM297" s="48"/>
      <c r="AN297" s="48"/>
      <c r="AO297" s="48"/>
      <c r="AP297" s="48"/>
      <c r="AQ297" s="48"/>
      <c r="AR297" s="48"/>
      <c r="AS297" s="48"/>
      <c r="AT297" s="48"/>
      <c r="AU297" s="48"/>
      <c r="AV297" s="48"/>
      <c r="AW297" s="48"/>
      <c r="AX297" s="48"/>
      <c r="AY297" s="48"/>
      <c r="AZ297" s="48"/>
      <c r="BA297" s="48"/>
      <c r="BB297" s="48"/>
      <c r="BC297" s="48"/>
      <c r="BD297" s="48"/>
    </row>
    <row r="298" spans="1:56" x14ac:dyDescent="0.25">
      <c r="A298" s="48"/>
      <c r="B298" s="48"/>
      <c r="C298" s="48"/>
      <c r="D298" s="48"/>
      <c r="E298" s="48"/>
      <c r="F298" s="48"/>
      <c r="G298" s="48"/>
      <c r="H298" s="48"/>
      <c r="I298" s="48"/>
      <c r="J298" s="48"/>
      <c r="K298" s="48"/>
      <c r="L298" s="48"/>
      <c r="M298" s="48"/>
      <c r="N298" s="48"/>
      <c r="O298" s="48"/>
      <c r="P298" s="48"/>
      <c r="Q298" s="48"/>
      <c r="R298" s="48"/>
      <c r="S298" s="48"/>
      <c r="T298" s="48"/>
      <c r="U298" s="48"/>
      <c r="V298" s="48"/>
      <c r="W298" s="48"/>
      <c r="X298" s="48"/>
      <c r="Y298" s="48"/>
      <c r="Z298" s="48"/>
      <c r="AA298" s="48"/>
      <c r="AB298" s="48"/>
      <c r="AC298" s="48"/>
      <c r="AD298" s="48"/>
      <c r="AE298" s="48"/>
      <c r="AF298" s="48"/>
      <c r="AG298" s="48"/>
      <c r="AH298" s="48"/>
      <c r="AI298" s="48"/>
      <c r="AJ298" s="48"/>
      <c r="AK298" s="48"/>
      <c r="AL298" s="48"/>
      <c r="AM298" s="48"/>
      <c r="AN298" s="48"/>
      <c r="AO298" s="48"/>
      <c r="AP298" s="48"/>
      <c r="AQ298" s="48"/>
      <c r="AR298" s="48"/>
      <c r="AS298" s="48"/>
      <c r="AT298" s="48"/>
      <c r="AU298" s="48"/>
      <c r="AV298" s="48"/>
      <c r="AW298" s="48"/>
      <c r="AX298" s="48"/>
      <c r="AY298" s="48"/>
      <c r="AZ298" s="48"/>
      <c r="BA298" s="48"/>
      <c r="BB298" s="48"/>
      <c r="BC298" s="48"/>
      <c r="BD298" s="48"/>
    </row>
    <row r="299" spans="1:56" x14ac:dyDescent="0.25">
      <c r="A299" s="48"/>
      <c r="B299" s="48"/>
      <c r="C299" s="48"/>
      <c r="D299" s="48"/>
      <c r="E299" s="48"/>
      <c r="F299" s="48"/>
      <c r="G299" s="48"/>
      <c r="H299" s="48"/>
      <c r="I299" s="48"/>
      <c r="J299" s="48"/>
      <c r="K299" s="48"/>
      <c r="L299" s="48"/>
      <c r="M299" s="48"/>
      <c r="N299" s="48"/>
      <c r="O299" s="48"/>
      <c r="P299" s="48"/>
      <c r="Q299" s="48"/>
      <c r="R299" s="48"/>
      <c r="S299" s="48"/>
      <c r="T299" s="48"/>
      <c r="U299" s="48"/>
      <c r="V299" s="48"/>
      <c r="W299" s="48"/>
      <c r="X299" s="48"/>
      <c r="Y299" s="48"/>
      <c r="Z299" s="48"/>
      <c r="AA299" s="48"/>
      <c r="AB299" s="48"/>
      <c r="AC299" s="48"/>
      <c r="AD299" s="48"/>
      <c r="AE299" s="48"/>
      <c r="AF299" s="48"/>
      <c r="AG299" s="48"/>
      <c r="AH299" s="48"/>
      <c r="AI299" s="48"/>
      <c r="AJ299" s="48"/>
      <c r="AK299" s="48"/>
      <c r="AL299" s="48"/>
      <c r="AM299" s="48"/>
      <c r="AN299" s="48"/>
      <c r="AO299" s="48"/>
      <c r="AP299" s="48"/>
      <c r="AQ299" s="48"/>
      <c r="AR299" s="48"/>
      <c r="AS299" s="48"/>
      <c r="AT299" s="48"/>
      <c r="AU299" s="48"/>
      <c r="AV299" s="48"/>
      <c r="AW299" s="48"/>
      <c r="AX299" s="48"/>
      <c r="AY299" s="48"/>
      <c r="AZ299" s="48"/>
      <c r="BA299" s="48"/>
      <c r="BB299" s="48"/>
      <c r="BC299" s="48"/>
      <c r="BD299" s="48"/>
    </row>
    <row r="300" spans="1:56" x14ac:dyDescent="0.25">
      <c r="A300" s="48"/>
      <c r="B300" s="48"/>
      <c r="C300" s="48"/>
      <c r="D300" s="48"/>
      <c r="E300" s="48"/>
      <c r="F300" s="48"/>
      <c r="G300" s="48"/>
      <c r="H300" s="48"/>
      <c r="I300" s="48"/>
      <c r="J300" s="48"/>
      <c r="K300" s="48"/>
      <c r="L300" s="48"/>
      <c r="M300" s="48"/>
      <c r="N300" s="48"/>
      <c r="O300" s="48"/>
      <c r="P300" s="48"/>
      <c r="Q300" s="48"/>
      <c r="R300" s="48"/>
      <c r="S300" s="48"/>
      <c r="T300" s="48"/>
      <c r="U300" s="48"/>
      <c r="V300" s="48"/>
      <c r="W300" s="48"/>
      <c r="X300" s="48"/>
      <c r="Y300" s="48"/>
      <c r="Z300" s="48"/>
      <c r="AA300" s="48"/>
      <c r="AB300" s="48"/>
      <c r="AC300" s="48"/>
      <c r="AD300" s="48"/>
      <c r="AE300" s="48"/>
      <c r="AF300" s="48"/>
      <c r="AG300" s="48"/>
      <c r="AH300" s="48"/>
      <c r="AI300" s="48"/>
      <c r="AJ300" s="48"/>
      <c r="AK300" s="48"/>
      <c r="AL300" s="48"/>
      <c r="AM300" s="48"/>
      <c r="AN300" s="48"/>
      <c r="AO300" s="48"/>
      <c r="AP300" s="48"/>
      <c r="AQ300" s="48"/>
      <c r="AR300" s="48"/>
      <c r="AS300" s="48"/>
      <c r="AT300" s="48"/>
      <c r="AU300" s="48"/>
      <c r="AV300" s="48"/>
      <c r="AW300" s="48"/>
      <c r="AX300" s="48"/>
      <c r="AY300" s="48"/>
      <c r="AZ300" s="48"/>
      <c r="BA300" s="48"/>
      <c r="BB300" s="48"/>
      <c r="BC300" s="48"/>
      <c r="BD300" s="48"/>
    </row>
    <row r="301" spans="1:56" x14ac:dyDescent="0.25">
      <c r="A301" s="48"/>
      <c r="B301" s="48"/>
      <c r="C301" s="48"/>
      <c r="D301" s="48"/>
      <c r="E301" s="48"/>
      <c r="F301" s="48"/>
      <c r="G301" s="48"/>
      <c r="H301" s="48"/>
      <c r="I301" s="48"/>
      <c r="J301" s="48"/>
      <c r="K301" s="48"/>
      <c r="L301" s="48"/>
      <c r="M301" s="48"/>
      <c r="N301" s="48"/>
      <c r="O301" s="48"/>
      <c r="P301" s="48"/>
      <c r="Q301" s="48"/>
      <c r="R301" s="48"/>
      <c r="S301" s="48"/>
      <c r="T301" s="48"/>
      <c r="U301" s="48"/>
      <c r="V301" s="48"/>
      <c r="W301" s="48"/>
      <c r="X301" s="48"/>
      <c r="Y301" s="48"/>
      <c r="Z301" s="48"/>
      <c r="AA301" s="48"/>
      <c r="AB301" s="48"/>
      <c r="AC301" s="48"/>
      <c r="AD301" s="48"/>
      <c r="AE301" s="48"/>
      <c r="AF301" s="48"/>
      <c r="AG301" s="48"/>
      <c r="AH301" s="48"/>
      <c r="AI301" s="48"/>
      <c r="AJ301" s="48"/>
      <c r="AK301" s="48"/>
      <c r="AL301" s="48"/>
      <c r="AM301" s="48"/>
      <c r="AN301" s="48"/>
      <c r="AO301" s="48"/>
      <c r="AP301" s="48"/>
      <c r="AQ301" s="48"/>
      <c r="AR301" s="48"/>
      <c r="AS301" s="48"/>
      <c r="AT301" s="48"/>
      <c r="AU301" s="48"/>
      <c r="AV301" s="48"/>
      <c r="AW301" s="48"/>
      <c r="AX301" s="48"/>
      <c r="AY301" s="48"/>
      <c r="AZ301" s="48"/>
      <c r="BA301" s="48"/>
      <c r="BB301" s="48"/>
      <c r="BC301" s="48"/>
      <c r="BD301" s="48"/>
    </row>
    <row r="302" spans="1:56" x14ac:dyDescent="0.25">
      <c r="A302" s="48"/>
      <c r="B302" s="48"/>
      <c r="C302" s="48"/>
      <c r="D302" s="48"/>
      <c r="E302" s="48"/>
      <c r="F302" s="48"/>
      <c r="G302" s="48"/>
      <c r="H302" s="48"/>
      <c r="I302" s="48"/>
      <c r="J302" s="48"/>
      <c r="K302" s="48"/>
      <c r="L302" s="48"/>
      <c r="M302" s="48"/>
      <c r="N302" s="48"/>
      <c r="O302" s="48"/>
      <c r="P302" s="48"/>
      <c r="Q302" s="48"/>
      <c r="R302" s="48"/>
      <c r="S302" s="48"/>
      <c r="T302" s="48"/>
      <c r="U302" s="48"/>
      <c r="V302" s="48"/>
      <c r="W302" s="48"/>
      <c r="X302" s="48"/>
      <c r="Y302" s="48"/>
      <c r="Z302" s="48"/>
      <c r="AA302" s="48"/>
      <c r="AB302" s="48"/>
      <c r="AC302" s="48"/>
      <c r="AD302" s="48"/>
      <c r="AE302" s="48"/>
      <c r="AF302" s="48"/>
      <c r="AG302" s="48"/>
      <c r="AH302" s="48"/>
      <c r="AI302" s="48"/>
      <c r="AJ302" s="48"/>
      <c r="AK302" s="48"/>
      <c r="AL302" s="48"/>
      <c r="AM302" s="48"/>
      <c r="AN302" s="48"/>
      <c r="AO302" s="48"/>
      <c r="AP302" s="48"/>
      <c r="AQ302" s="48"/>
      <c r="AR302" s="48"/>
      <c r="AS302" s="48"/>
      <c r="AT302" s="48"/>
      <c r="AU302" s="48"/>
      <c r="AV302" s="48"/>
      <c r="AW302" s="48"/>
      <c r="AX302" s="48"/>
      <c r="AY302" s="48"/>
      <c r="AZ302" s="48"/>
      <c r="BA302" s="48"/>
      <c r="BB302" s="48"/>
      <c r="BC302" s="48"/>
      <c r="BD302" s="48"/>
    </row>
    <row r="303" spans="1:56" x14ac:dyDescent="0.25">
      <c r="A303" s="48"/>
      <c r="B303" s="48"/>
      <c r="C303" s="48"/>
      <c r="D303" s="48"/>
      <c r="E303" s="48"/>
      <c r="F303" s="48"/>
      <c r="G303" s="48"/>
      <c r="H303" s="48"/>
      <c r="I303" s="48"/>
      <c r="J303" s="48"/>
      <c r="K303" s="48"/>
      <c r="L303" s="48"/>
      <c r="M303" s="48"/>
      <c r="N303" s="48"/>
      <c r="O303" s="48"/>
      <c r="P303" s="48"/>
      <c r="Q303" s="48"/>
      <c r="R303" s="48"/>
      <c r="S303" s="48"/>
      <c r="T303" s="48"/>
      <c r="U303" s="48"/>
      <c r="V303" s="48"/>
      <c r="W303" s="48"/>
      <c r="X303" s="48"/>
      <c r="Y303" s="48"/>
      <c r="Z303" s="48"/>
      <c r="AA303" s="48"/>
      <c r="AB303" s="48"/>
      <c r="AC303" s="48"/>
      <c r="AD303" s="48"/>
      <c r="AE303" s="48"/>
      <c r="AF303" s="48"/>
      <c r="AG303" s="48"/>
      <c r="AH303" s="48"/>
      <c r="AI303" s="48"/>
      <c r="AJ303" s="48"/>
      <c r="AK303" s="48"/>
      <c r="AL303" s="48"/>
      <c r="AM303" s="48"/>
      <c r="AN303" s="48"/>
      <c r="AO303" s="48"/>
      <c r="AP303" s="48"/>
      <c r="AQ303" s="48"/>
      <c r="AR303" s="48"/>
      <c r="AS303" s="48"/>
      <c r="AT303" s="48"/>
      <c r="AU303" s="48"/>
      <c r="AV303" s="48"/>
      <c r="AW303" s="48"/>
      <c r="AX303" s="48"/>
      <c r="AY303" s="48"/>
      <c r="AZ303" s="48"/>
      <c r="BA303" s="48"/>
      <c r="BB303" s="48"/>
      <c r="BC303" s="48"/>
      <c r="BD303" s="48"/>
    </row>
    <row r="304" spans="1:56" x14ac:dyDescent="0.25">
      <c r="A304" s="48"/>
      <c r="B304" s="48"/>
      <c r="C304" s="48"/>
      <c r="D304" s="48"/>
      <c r="E304" s="48"/>
      <c r="F304" s="48"/>
      <c r="G304" s="48"/>
      <c r="H304" s="48"/>
      <c r="I304" s="48"/>
      <c r="J304" s="48"/>
      <c r="K304" s="48"/>
      <c r="L304" s="48"/>
      <c r="M304" s="48"/>
      <c r="N304" s="48"/>
      <c r="O304" s="48"/>
      <c r="P304" s="48"/>
      <c r="Q304" s="48"/>
      <c r="R304" s="48"/>
      <c r="S304" s="48"/>
      <c r="T304" s="48"/>
      <c r="U304" s="48"/>
      <c r="V304" s="48"/>
      <c r="W304" s="48"/>
      <c r="X304" s="48"/>
      <c r="Y304" s="48"/>
      <c r="Z304" s="48"/>
      <c r="AA304" s="48"/>
      <c r="AB304" s="48"/>
      <c r="AC304" s="48"/>
      <c r="AD304" s="48"/>
      <c r="AE304" s="48"/>
      <c r="AF304" s="48"/>
      <c r="AG304" s="48"/>
      <c r="AH304" s="48"/>
      <c r="AI304" s="48"/>
      <c r="AJ304" s="48"/>
      <c r="AK304" s="48"/>
      <c r="AL304" s="48"/>
      <c r="AM304" s="48"/>
      <c r="AN304" s="48"/>
      <c r="AO304" s="48"/>
      <c r="AP304" s="48"/>
      <c r="AQ304" s="48"/>
      <c r="AR304" s="48"/>
      <c r="AS304" s="48"/>
      <c r="AT304" s="48"/>
      <c r="AU304" s="48"/>
      <c r="AV304" s="48"/>
      <c r="AW304" s="48"/>
      <c r="AX304" s="48"/>
      <c r="AY304" s="48"/>
      <c r="AZ304" s="48"/>
      <c r="BA304" s="48"/>
      <c r="BB304" s="48"/>
      <c r="BC304" s="48"/>
      <c r="BD304" s="48"/>
    </row>
    <row r="305" spans="1:56" x14ac:dyDescent="0.25">
      <c r="A305" s="48"/>
      <c r="B305" s="48"/>
      <c r="C305" s="48"/>
      <c r="D305" s="48"/>
      <c r="E305" s="48"/>
      <c r="F305" s="48"/>
      <c r="G305" s="48"/>
      <c r="H305" s="48"/>
      <c r="I305" s="48"/>
      <c r="J305" s="48"/>
      <c r="K305" s="48"/>
      <c r="L305" s="48"/>
      <c r="M305" s="48"/>
      <c r="N305" s="48"/>
      <c r="O305" s="48"/>
      <c r="P305" s="48"/>
      <c r="Q305" s="48"/>
      <c r="R305" s="48"/>
      <c r="S305" s="48"/>
      <c r="T305" s="48"/>
      <c r="U305" s="48"/>
      <c r="V305" s="48"/>
      <c r="W305" s="48"/>
      <c r="X305" s="48"/>
      <c r="Y305" s="48"/>
      <c r="Z305" s="48"/>
      <c r="AA305" s="48"/>
      <c r="AB305" s="48"/>
      <c r="AC305" s="48"/>
      <c r="AD305" s="48"/>
      <c r="AE305" s="48"/>
      <c r="AF305" s="48"/>
      <c r="AG305" s="48"/>
      <c r="AH305" s="48"/>
      <c r="AI305" s="48"/>
      <c r="AJ305" s="48"/>
      <c r="AK305" s="48"/>
      <c r="AL305" s="48"/>
      <c r="AM305" s="48"/>
      <c r="AN305" s="48"/>
      <c r="AO305" s="48"/>
      <c r="AP305" s="48"/>
      <c r="AQ305" s="48"/>
      <c r="AR305" s="48"/>
      <c r="AS305" s="48"/>
      <c r="AT305" s="48"/>
      <c r="AU305" s="48"/>
      <c r="AV305" s="48"/>
      <c r="AW305" s="48"/>
      <c r="AX305" s="48"/>
      <c r="AY305" s="48"/>
      <c r="AZ305" s="48"/>
      <c r="BA305" s="48"/>
      <c r="BB305" s="48"/>
      <c r="BC305" s="48"/>
      <c r="BD305" s="48"/>
    </row>
    <row r="306" spans="1:56" x14ac:dyDescent="0.25">
      <c r="A306" s="48"/>
      <c r="B306" s="48"/>
      <c r="C306" s="48"/>
      <c r="D306" s="48"/>
      <c r="E306" s="48"/>
      <c r="F306" s="48"/>
      <c r="G306" s="48"/>
      <c r="H306" s="48"/>
      <c r="I306" s="48"/>
      <c r="J306" s="48"/>
      <c r="K306" s="48"/>
      <c r="L306" s="48"/>
      <c r="M306" s="48"/>
      <c r="N306" s="48"/>
      <c r="O306" s="48"/>
      <c r="P306" s="48"/>
      <c r="Q306" s="48"/>
      <c r="R306" s="48"/>
      <c r="S306" s="48"/>
      <c r="T306" s="48"/>
      <c r="U306" s="48"/>
      <c r="V306" s="48"/>
      <c r="W306" s="48"/>
      <c r="X306" s="48"/>
      <c r="Y306" s="48"/>
      <c r="Z306" s="48"/>
      <c r="AA306" s="48"/>
      <c r="AB306" s="48"/>
      <c r="AC306" s="48"/>
      <c r="AD306" s="48"/>
      <c r="AE306" s="48"/>
      <c r="AF306" s="48"/>
      <c r="AG306" s="48"/>
      <c r="AH306" s="48"/>
      <c r="AI306" s="48"/>
      <c r="AJ306" s="48"/>
      <c r="AK306" s="48"/>
      <c r="AL306" s="48"/>
      <c r="AM306" s="48"/>
      <c r="AN306" s="48"/>
      <c r="AO306" s="48"/>
      <c r="AP306" s="48"/>
      <c r="AQ306" s="48"/>
      <c r="AR306" s="48"/>
      <c r="AS306" s="48"/>
      <c r="AT306" s="48"/>
      <c r="AU306" s="48"/>
      <c r="AV306" s="48"/>
      <c r="AW306" s="48"/>
      <c r="AX306" s="48"/>
      <c r="AY306" s="48"/>
      <c r="AZ306" s="48"/>
      <c r="BA306" s="48"/>
      <c r="BB306" s="48"/>
      <c r="BC306" s="48"/>
      <c r="BD306" s="48"/>
    </row>
    <row r="307" spans="1:56" x14ac:dyDescent="0.25">
      <c r="A307" s="48"/>
      <c r="B307" s="48"/>
      <c r="C307" s="48"/>
      <c r="D307" s="48"/>
      <c r="E307" s="48"/>
      <c r="F307" s="48"/>
      <c r="G307" s="48"/>
      <c r="H307" s="48"/>
      <c r="I307" s="48"/>
      <c r="J307" s="48"/>
      <c r="K307" s="48"/>
      <c r="L307" s="48"/>
      <c r="M307" s="48"/>
      <c r="N307" s="48"/>
      <c r="O307" s="48"/>
      <c r="P307" s="48"/>
      <c r="Q307" s="48"/>
      <c r="R307" s="48"/>
      <c r="S307" s="48"/>
      <c r="T307" s="48"/>
      <c r="U307" s="48"/>
      <c r="V307" s="48"/>
      <c r="W307" s="48"/>
      <c r="X307" s="48"/>
      <c r="Y307" s="48"/>
      <c r="Z307" s="48"/>
      <c r="AA307" s="48"/>
      <c r="AB307" s="48"/>
      <c r="AC307" s="48"/>
      <c r="AD307" s="48"/>
      <c r="AE307" s="48"/>
      <c r="AF307" s="48"/>
      <c r="AG307" s="48"/>
      <c r="AH307" s="48"/>
      <c r="AI307" s="48"/>
      <c r="AJ307" s="48"/>
      <c r="AK307" s="48"/>
      <c r="AL307" s="48"/>
      <c r="AM307" s="48"/>
      <c r="AN307" s="48"/>
      <c r="AO307" s="48"/>
      <c r="AP307" s="48"/>
      <c r="AQ307" s="48"/>
      <c r="AR307" s="48"/>
      <c r="AS307" s="48"/>
      <c r="AT307" s="48"/>
      <c r="AU307" s="48"/>
      <c r="AV307" s="48"/>
      <c r="AW307" s="48"/>
      <c r="AX307" s="48"/>
      <c r="AY307" s="48"/>
      <c r="AZ307" s="48"/>
      <c r="BA307" s="48"/>
      <c r="BB307" s="48"/>
      <c r="BC307" s="48"/>
      <c r="BD307" s="48"/>
    </row>
    <row r="308" spans="1:56" x14ac:dyDescent="0.25">
      <c r="A308" s="48"/>
      <c r="B308" s="48"/>
      <c r="C308" s="48"/>
      <c r="D308" s="48"/>
      <c r="E308" s="48"/>
      <c r="F308" s="48"/>
      <c r="G308" s="48"/>
      <c r="H308" s="48"/>
      <c r="I308" s="48"/>
      <c r="J308" s="48"/>
      <c r="K308" s="48"/>
      <c r="L308" s="48"/>
      <c r="M308" s="48"/>
      <c r="N308" s="48"/>
      <c r="O308" s="48"/>
      <c r="P308" s="48"/>
      <c r="Q308" s="48"/>
      <c r="R308" s="48"/>
      <c r="S308" s="48"/>
      <c r="T308" s="48"/>
      <c r="U308" s="48"/>
      <c r="V308" s="48"/>
      <c r="W308" s="48"/>
      <c r="X308" s="48"/>
      <c r="Y308" s="48"/>
      <c r="Z308" s="48"/>
      <c r="AA308" s="48"/>
      <c r="AB308" s="48"/>
      <c r="AC308" s="48"/>
      <c r="AD308" s="48"/>
      <c r="AE308" s="48"/>
      <c r="AF308" s="48"/>
      <c r="AG308" s="48"/>
      <c r="AH308" s="48"/>
      <c r="AI308" s="48"/>
      <c r="AJ308" s="48"/>
      <c r="AK308" s="48"/>
      <c r="AL308" s="48"/>
      <c r="AM308" s="48"/>
      <c r="AN308" s="48"/>
      <c r="AO308" s="48"/>
      <c r="AP308" s="48"/>
      <c r="AQ308" s="48"/>
      <c r="AR308" s="48"/>
      <c r="AS308" s="48"/>
      <c r="AT308" s="48"/>
      <c r="AU308" s="48"/>
      <c r="AV308" s="48"/>
      <c r="AW308" s="48"/>
      <c r="AX308" s="48"/>
      <c r="AY308" s="48"/>
      <c r="AZ308" s="48"/>
      <c r="BA308" s="48"/>
      <c r="BB308" s="48"/>
      <c r="BC308" s="48"/>
      <c r="BD308" s="48"/>
    </row>
    <row r="309" spans="1:56" x14ac:dyDescent="0.25">
      <c r="A309" s="48"/>
      <c r="B309" s="48"/>
      <c r="C309" s="48"/>
      <c r="D309" s="48"/>
      <c r="E309" s="48"/>
      <c r="F309" s="48"/>
      <c r="G309" s="48"/>
      <c r="H309" s="48"/>
      <c r="I309" s="48"/>
      <c r="J309" s="48"/>
      <c r="K309" s="48"/>
      <c r="L309" s="48"/>
      <c r="M309" s="48"/>
      <c r="N309" s="48"/>
      <c r="O309" s="48"/>
      <c r="P309" s="48"/>
      <c r="Q309" s="48"/>
      <c r="R309" s="48"/>
      <c r="S309" s="48"/>
      <c r="T309" s="48"/>
      <c r="U309" s="48"/>
      <c r="V309" s="48"/>
      <c r="W309" s="48"/>
      <c r="X309" s="48"/>
      <c r="Y309" s="48"/>
      <c r="Z309" s="48"/>
      <c r="AA309" s="48"/>
      <c r="AB309" s="48"/>
      <c r="AC309" s="48"/>
      <c r="AD309" s="48"/>
      <c r="AE309" s="48"/>
      <c r="AF309" s="48"/>
      <c r="AG309" s="48"/>
      <c r="AH309" s="48"/>
      <c r="AI309" s="48"/>
      <c r="AJ309" s="48"/>
      <c r="AK309" s="48"/>
      <c r="AL309" s="48"/>
      <c r="AM309" s="48"/>
      <c r="AN309" s="48"/>
      <c r="AO309" s="48"/>
      <c r="AP309" s="48"/>
      <c r="AQ309" s="48"/>
      <c r="AR309" s="48"/>
      <c r="AS309" s="48"/>
      <c r="AT309" s="48"/>
      <c r="AU309" s="48"/>
      <c r="AV309" s="48"/>
      <c r="AW309" s="48"/>
      <c r="AX309" s="48"/>
      <c r="AY309" s="48"/>
      <c r="AZ309" s="48"/>
      <c r="BA309" s="48"/>
      <c r="BB309" s="48"/>
      <c r="BC309" s="48"/>
      <c r="BD309" s="48"/>
    </row>
    <row r="310" spans="1:56" x14ac:dyDescent="0.25">
      <c r="A310" s="48"/>
      <c r="B310" s="48"/>
      <c r="C310" s="48"/>
      <c r="D310" s="48"/>
      <c r="E310" s="48"/>
      <c r="F310" s="48"/>
      <c r="G310" s="48"/>
      <c r="H310" s="48"/>
      <c r="I310" s="48"/>
      <c r="J310" s="48"/>
      <c r="K310" s="48"/>
      <c r="L310" s="48"/>
      <c r="M310" s="48"/>
      <c r="N310" s="48"/>
      <c r="O310" s="48"/>
      <c r="P310" s="48"/>
      <c r="Q310" s="48"/>
      <c r="R310" s="48"/>
      <c r="S310" s="48"/>
      <c r="T310" s="48"/>
      <c r="U310" s="48"/>
      <c r="V310" s="48"/>
      <c r="W310" s="48"/>
      <c r="X310" s="48"/>
      <c r="Y310" s="48"/>
      <c r="Z310" s="48"/>
      <c r="AA310" s="48"/>
      <c r="AB310" s="48"/>
      <c r="AC310" s="48"/>
      <c r="AD310" s="48"/>
      <c r="AE310" s="48"/>
      <c r="AF310" s="48"/>
      <c r="AG310" s="48"/>
      <c r="AH310" s="48"/>
      <c r="AI310" s="48"/>
      <c r="AJ310" s="48"/>
      <c r="AK310" s="48"/>
      <c r="AL310" s="48"/>
      <c r="AM310" s="48"/>
      <c r="AN310" s="48"/>
      <c r="AO310" s="48"/>
      <c r="AP310" s="48"/>
      <c r="AQ310" s="48"/>
      <c r="AR310" s="48"/>
      <c r="AS310" s="48"/>
      <c r="AT310" s="48"/>
      <c r="AU310" s="48"/>
      <c r="AV310" s="48"/>
      <c r="AW310" s="48"/>
      <c r="AX310" s="48"/>
      <c r="AY310" s="48"/>
      <c r="AZ310" s="48"/>
      <c r="BA310" s="48"/>
      <c r="BB310" s="48"/>
      <c r="BC310" s="48"/>
      <c r="BD310" s="48"/>
    </row>
    <row r="311" spans="1:56" x14ac:dyDescent="0.25">
      <c r="A311" s="48"/>
      <c r="B311" s="48"/>
      <c r="C311" s="48"/>
      <c r="D311" s="48"/>
      <c r="E311" s="48"/>
      <c r="F311" s="48"/>
      <c r="G311" s="48"/>
      <c r="H311" s="48"/>
      <c r="I311" s="48"/>
      <c r="J311" s="48"/>
      <c r="K311" s="48"/>
      <c r="L311" s="48"/>
      <c r="M311" s="48"/>
      <c r="N311" s="48"/>
      <c r="O311" s="48"/>
      <c r="P311" s="48"/>
      <c r="Q311" s="48"/>
      <c r="R311" s="48"/>
      <c r="S311" s="48"/>
      <c r="T311" s="48"/>
      <c r="U311" s="48"/>
      <c r="V311" s="48"/>
      <c r="W311" s="48"/>
      <c r="X311" s="48"/>
      <c r="Y311" s="48"/>
      <c r="Z311" s="48"/>
      <c r="AA311" s="48"/>
      <c r="AB311" s="48"/>
      <c r="AC311" s="48"/>
      <c r="AD311" s="48"/>
      <c r="AE311" s="48"/>
      <c r="AF311" s="48"/>
      <c r="AG311" s="48"/>
      <c r="AH311" s="48"/>
      <c r="AI311" s="48"/>
      <c r="AJ311" s="48"/>
      <c r="AK311" s="48"/>
      <c r="AL311" s="48"/>
      <c r="AM311" s="48"/>
      <c r="AN311" s="48"/>
      <c r="AO311" s="48"/>
      <c r="AP311" s="48"/>
      <c r="AQ311" s="48"/>
      <c r="AR311" s="48"/>
      <c r="AS311" s="48"/>
      <c r="AT311" s="48"/>
      <c r="AU311" s="48"/>
      <c r="AV311" s="48"/>
      <c r="AW311" s="48"/>
      <c r="AX311" s="48"/>
      <c r="AY311" s="48"/>
      <c r="AZ311" s="48"/>
      <c r="BA311" s="48"/>
      <c r="BB311" s="48"/>
      <c r="BC311" s="48"/>
      <c r="BD311" s="48"/>
    </row>
    <row r="312" spans="1:56" x14ac:dyDescent="0.25">
      <c r="A312" s="48"/>
      <c r="B312" s="48"/>
      <c r="C312" s="48"/>
      <c r="D312" s="48"/>
      <c r="E312" s="48"/>
      <c r="F312" s="48"/>
      <c r="G312" s="48"/>
      <c r="H312" s="48"/>
      <c r="I312" s="48"/>
      <c r="J312" s="48"/>
      <c r="K312" s="48"/>
      <c r="L312" s="48"/>
      <c r="M312" s="48"/>
      <c r="N312" s="48"/>
      <c r="O312" s="48"/>
      <c r="P312" s="48"/>
      <c r="Q312" s="48"/>
      <c r="R312" s="48"/>
      <c r="S312" s="48"/>
      <c r="T312" s="48"/>
      <c r="U312" s="48"/>
      <c r="V312" s="48"/>
      <c r="W312" s="48"/>
      <c r="X312" s="48"/>
      <c r="Y312" s="48"/>
      <c r="Z312" s="48"/>
      <c r="AA312" s="48"/>
      <c r="AB312" s="48"/>
      <c r="AC312" s="48"/>
      <c r="AD312" s="48"/>
      <c r="AE312" s="48"/>
      <c r="AF312" s="48"/>
      <c r="AG312" s="48"/>
      <c r="AH312" s="48"/>
      <c r="AI312" s="48"/>
      <c r="AJ312" s="48"/>
      <c r="AK312" s="48"/>
      <c r="AL312" s="48"/>
      <c r="AM312" s="48"/>
      <c r="AN312" s="48"/>
      <c r="AO312" s="48"/>
      <c r="AP312" s="48"/>
      <c r="AQ312" s="48"/>
      <c r="AR312" s="48"/>
      <c r="AS312" s="48"/>
      <c r="AT312" s="48"/>
      <c r="AU312" s="48"/>
      <c r="AV312" s="48"/>
      <c r="AW312" s="48"/>
      <c r="AX312" s="48"/>
      <c r="AY312" s="48"/>
      <c r="AZ312" s="48"/>
      <c r="BA312" s="48"/>
      <c r="BB312" s="48"/>
      <c r="BC312" s="48"/>
      <c r="BD312" s="48"/>
    </row>
    <row r="313" spans="1:56" x14ac:dyDescent="0.25">
      <c r="A313" s="48"/>
      <c r="B313" s="48"/>
      <c r="C313" s="48"/>
      <c r="D313" s="48"/>
      <c r="E313" s="48"/>
      <c r="F313" s="48"/>
      <c r="G313" s="48"/>
      <c r="H313" s="48"/>
      <c r="I313" s="48"/>
      <c r="J313" s="48"/>
      <c r="K313" s="48"/>
      <c r="L313" s="48"/>
      <c r="M313" s="48"/>
      <c r="N313" s="48"/>
      <c r="O313" s="48"/>
      <c r="P313" s="48"/>
      <c r="Q313" s="48"/>
      <c r="R313" s="48"/>
      <c r="S313" s="48"/>
      <c r="T313" s="48"/>
      <c r="U313" s="48"/>
      <c r="V313" s="48"/>
      <c r="W313" s="48"/>
      <c r="X313" s="48"/>
      <c r="Y313" s="48"/>
      <c r="Z313" s="48"/>
      <c r="AA313" s="48"/>
      <c r="AB313" s="48"/>
      <c r="AC313" s="48"/>
      <c r="AD313" s="48"/>
      <c r="AE313" s="48"/>
      <c r="AF313" s="48"/>
      <c r="AG313" s="48"/>
      <c r="AH313" s="48"/>
      <c r="AI313" s="48"/>
      <c r="AJ313" s="48"/>
      <c r="AK313" s="48"/>
      <c r="AL313" s="48"/>
      <c r="AM313" s="48"/>
      <c r="AN313" s="48"/>
      <c r="AO313" s="48"/>
      <c r="AP313" s="48"/>
      <c r="AQ313" s="48"/>
      <c r="AR313" s="48"/>
      <c r="AS313" s="48"/>
      <c r="AT313" s="48"/>
      <c r="AU313" s="48"/>
      <c r="AV313" s="48"/>
      <c r="AW313" s="48"/>
      <c r="AX313" s="48"/>
      <c r="AY313" s="48"/>
      <c r="AZ313" s="48"/>
      <c r="BA313" s="48"/>
      <c r="BB313" s="48"/>
      <c r="BC313" s="48"/>
      <c r="BD313" s="48"/>
    </row>
    <row r="314" spans="1:56" x14ac:dyDescent="0.25">
      <c r="A314" s="48"/>
      <c r="B314" s="48"/>
      <c r="C314" s="48"/>
      <c r="D314" s="48"/>
      <c r="E314" s="48"/>
      <c r="F314" s="48"/>
      <c r="G314" s="48"/>
      <c r="H314" s="48"/>
      <c r="I314" s="48"/>
      <c r="J314" s="48"/>
      <c r="K314" s="48"/>
      <c r="L314" s="48"/>
      <c r="M314" s="48"/>
      <c r="N314" s="48"/>
      <c r="O314" s="48"/>
      <c r="P314" s="48"/>
      <c r="Q314" s="48"/>
      <c r="R314" s="48"/>
      <c r="S314" s="48"/>
      <c r="T314" s="48"/>
      <c r="U314" s="48"/>
      <c r="V314" s="48"/>
      <c r="W314" s="48"/>
      <c r="X314" s="48"/>
      <c r="Y314" s="48"/>
      <c r="Z314" s="48"/>
      <c r="AA314" s="48"/>
      <c r="AB314" s="48"/>
      <c r="AC314" s="48"/>
      <c r="AD314" s="48"/>
      <c r="AE314" s="48"/>
      <c r="AF314" s="48"/>
      <c r="AG314" s="48"/>
      <c r="AH314" s="48"/>
      <c r="AI314" s="48"/>
      <c r="AJ314" s="48"/>
      <c r="AK314" s="48"/>
      <c r="AL314" s="48"/>
      <c r="AM314" s="48"/>
      <c r="AN314" s="48"/>
      <c r="AO314" s="48"/>
      <c r="AP314" s="48"/>
      <c r="AQ314" s="48"/>
      <c r="AR314" s="48"/>
      <c r="AS314" s="48"/>
      <c r="AT314" s="48"/>
      <c r="AU314" s="48"/>
      <c r="AV314" s="48"/>
      <c r="AW314" s="48"/>
      <c r="AX314" s="48"/>
      <c r="AY314" s="48"/>
      <c r="AZ314" s="48"/>
      <c r="BA314" s="48"/>
      <c r="BB314" s="48"/>
      <c r="BC314" s="48"/>
      <c r="BD314" s="48"/>
    </row>
    <row r="315" spans="1:56" x14ac:dyDescent="0.25">
      <c r="A315" s="48"/>
      <c r="B315" s="48"/>
      <c r="C315" s="48"/>
      <c r="D315" s="48"/>
      <c r="E315" s="48"/>
      <c r="F315" s="48"/>
      <c r="G315" s="48"/>
      <c r="H315" s="48"/>
      <c r="I315" s="48"/>
      <c r="J315" s="48"/>
      <c r="K315" s="48"/>
      <c r="L315" s="48"/>
      <c r="M315" s="48"/>
      <c r="N315" s="48"/>
      <c r="O315" s="48"/>
      <c r="P315" s="48"/>
      <c r="Q315" s="48"/>
      <c r="R315" s="48"/>
      <c r="S315" s="48"/>
      <c r="T315" s="48"/>
      <c r="U315" s="48"/>
      <c r="V315" s="48"/>
      <c r="W315" s="48"/>
      <c r="X315" s="48"/>
      <c r="Y315" s="48"/>
      <c r="Z315" s="48"/>
      <c r="AA315" s="48"/>
      <c r="AB315" s="48"/>
      <c r="AC315" s="48"/>
      <c r="AD315" s="48"/>
      <c r="AE315" s="48"/>
      <c r="AF315" s="48"/>
      <c r="AG315" s="48"/>
      <c r="AH315" s="48"/>
      <c r="AI315" s="48"/>
      <c r="AJ315" s="48"/>
      <c r="AK315" s="48"/>
      <c r="AL315" s="48"/>
      <c r="AM315" s="48"/>
      <c r="AN315" s="48"/>
      <c r="AO315" s="48"/>
      <c r="AP315" s="48"/>
      <c r="AQ315" s="48"/>
      <c r="AR315" s="48"/>
      <c r="AS315" s="48"/>
      <c r="AT315" s="48"/>
      <c r="AU315" s="48"/>
      <c r="AV315" s="48"/>
      <c r="AW315" s="48"/>
      <c r="AX315" s="48"/>
      <c r="AY315" s="48"/>
      <c r="AZ315" s="48"/>
      <c r="BA315" s="48"/>
      <c r="BB315" s="48"/>
      <c r="BC315" s="48"/>
      <c r="BD315" s="48"/>
    </row>
    <row r="316" spans="1:56" x14ac:dyDescent="0.25">
      <c r="A316" s="48"/>
      <c r="B316" s="48"/>
      <c r="C316" s="48"/>
      <c r="D316" s="48"/>
      <c r="E316" s="48"/>
      <c r="F316" s="48"/>
      <c r="G316" s="48"/>
      <c r="H316" s="48"/>
      <c r="I316" s="48"/>
      <c r="J316" s="48"/>
      <c r="K316" s="48"/>
      <c r="L316" s="48"/>
      <c r="M316" s="48"/>
      <c r="N316" s="48"/>
      <c r="O316" s="48"/>
      <c r="P316" s="48"/>
      <c r="Q316" s="48"/>
      <c r="R316" s="48"/>
      <c r="S316" s="48"/>
      <c r="T316" s="48"/>
      <c r="U316" s="48"/>
      <c r="V316" s="48"/>
      <c r="W316" s="48"/>
      <c r="X316" s="48"/>
      <c r="Y316" s="48"/>
      <c r="Z316" s="48"/>
      <c r="AA316" s="48"/>
      <c r="AB316" s="48"/>
      <c r="AC316" s="48"/>
      <c r="AD316" s="48"/>
      <c r="AE316" s="48"/>
      <c r="AF316" s="48"/>
      <c r="AG316" s="48"/>
      <c r="AH316" s="48"/>
      <c r="AI316" s="48"/>
      <c r="AJ316" s="48"/>
      <c r="AK316" s="48"/>
      <c r="AL316" s="48"/>
      <c r="AM316" s="48"/>
      <c r="AN316" s="48"/>
      <c r="AO316" s="48"/>
      <c r="AP316" s="48"/>
      <c r="AQ316" s="48"/>
      <c r="AR316" s="48"/>
      <c r="AS316" s="48"/>
      <c r="AT316" s="48"/>
      <c r="AU316" s="48"/>
      <c r="AV316" s="48"/>
      <c r="AW316" s="48"/>
      <c r="AX316" s="48"/>
      <c r="AY316" s="48"/>
      <c r="AZ316" s="48"/>
      <c r="BA316" s="48"/>
      <c r="BB316" s="48"/>
      <c r="BC316" s="48"/>
      <c r="BD316" s="48"/>
    </row>
    <row r="317" spans="1:56" x14ac:dyDescent="0.25">
      <c r="A317" s="48"/>
      <c r="B317" s="48"/>
      <c r="C317" s="48"/>
      <c r="D317" s="48"/>
      <c r="E317" s="48"/>
      <c r="F317" s="48"/>
      <c r="G317" s="48"/>
      <c r="H317" s="48"/>
      <c r="I317" s="48"/>
      <c r="J317" s="48"/>
      <c r="K317" s="48"/>
      <c r="L317" s="48"/>
      <c r="M317" s="48"/>
      <c r="N317" s="48"/>
      <c r="O317" s="48"/>
      <c r="P317" s="48"/>
      <c r="Q317" s="48"/>
      <c r="R317" s="48"/>
      <c r="S317" s="48"/>
      <c r="T317" s="48"/>
      <c r="U317" s="48"/>
      <c r="V317" s="48"/>
      <c r="W317" s="48"/>
      <c r="X317" s="48"/>
      <c r="Y317" s="48"/>
      <c r="Z317" s="48"/>
      <c r="AA317" s="48"/>
      <c r="AB317" s="48"/>
      <c r="AC317" s="48"/>
      <c r="AD317" s="48"/>
      <c r="AE317" s="48"/>
      <c r="AF317" s="48"/>
      <c r="AG317" s="48"/>
      <c r="AH317" s="48"/>
      <c r="AI317" s="48"/>
      <c r="AJ317" s="48"/>
      <c r="AK317" s="48"/>
      <c r="AL317" s="48"/>
      <c r="AM317" s="48"/>
      <c r="AN317" s="48"/>
      <c r="AO317" s="48"/>
      <c r="AP317" s="48"/>
      <c r="AQ317" s="48"/>
      <c r="AR317" s="48"/>
      <c r="AS317" s="48"/>
      <c r="AT317" s="48"/>
      <c r="AU317" s="48"/>
      <c r="AV317" s="48"/>
      <c r="AW317" s="48"/>
      <c r="AX317" s="48"/>
      <c r="AY317" s="48"/>
      <c r="AZ317" s="48"/>
      <c r="BA317" s="48"/>
      <c r="BB317" s="48"/>
      <c r="BC317" s="48"/>
      <c r="BD317" s="48"/>
    </row>
    <row r="318" spans="1:56" x14ac:dyDescent="0.25">
      <c r="A318" s="48"/>
      <c r="B318" s="48"/>
      <c r="C318" s="48"/>
      <c r="D318" s="48"/>
      <c r="E318" s="48"/>
      <c r="F318" s="48"/>
      <c r="G318" s="48"/>
      <c r="H318" s="48"/>
      <c r="I318" s="48"/>
      <c r="J318" s="48"/>
      <c r="K318" s="48"/>
      <c r="L318" s="48"/>
      <c r="M318" s="48"/>
      <c r="N318" s="48"/>
      <c r="O318" s="48"/>
      <c r="P318" s="48"/>
      <c r="Q318" s="48"/>
      <c r="R318" s="48"/>
      <c r="S318" s="48"/>
      <c r="T318" s="48"/>
      <c r="U318" s="48"/>
      <c r="V318" s="48"/>
      <c r="W318" s="48"/>
      <c r="X318" s="48"/>
      <c r="Y318" s="48"/>
      <c r="Z318" s="48"/>
      <c r="AA318" s="48"/>
      <c r="AB318" s="48"/>
      <c r="AC318" s="48"/>
      <c r="AD318" s="48"/>
      <c r="AE318" s="48"/>
      <c r="AF318" s="48"/>
      <c r="AG318" s="48"/>
      <c r="AH318" s="48"/>
      <c r="AI318" s="48"/>
      <c r="AJ318" s="48"/>
      <c r="AK318" s="48"/>
      <c r="AL318" s="48"/>
      <c r="AM318" s="48"/>
      <c r="AN318" s="48"/>
      <c r="AO318" s="48"/>
      <c r="AP318" s="48"/>
      <c r="AQ318" s="48"/>
      <c r="AR318" s="48"/>
      <c r="AS318" s="48"/>
      <c r="AT318" s="48"/>
      <c r="AU318" s="48"/>
      <c r="AV318" s="48"/>
      <c r="AW318" s="48"/>
      <c r="AX318" s="48"/>
      <c r="AY318" s="48"/>
      <c r="AZ318" s="48"/>
      <c r="BA318" s="48"/>
      <c r="BB318" s="48"/>
      <c r="BC318" s="48"/>
      <c r="BD318" s="48"/>
    </row>
    <row r="319" spans="1:56" x14ac:dyDescent="0.25">
      <c r="A319" s="48"/>
      <c r="B319" s="48"/>
      <c r="C319" s="48"/>
      <c r="D319" s="48"/>
      <c r="E319" s="48"/>
      <c r="F319" s="48"/>
      <c r="G319" s="48"/>
      <c r="H319" s="48"/>
      <c r="I319" s="48"/>
      <c r="J319" s="48"/>
      <c r="K319" s="48"/>
      <c r="L319" s="48"/>
      <c r="M319" s="48"/>
      <c r="N319" s="48"/>
      <c r="O319" s="48"/>
      <c r="P319" s="48"/>
      <c r="Q319" s="48"/>
      <c r="R319" s="48"/>
      <c r="S319" s="48"/>
      <c r="T319" s="48"/>
      <c r="U319" s="48"/>
      <c r="V319" s="48"/>
      <c r="W319" s="48"/>
      <c r="X319" s="48"/>
      <c r="Y319" s="48"/>
      <c r="Z319" s="48"/>
      <c r="AA319" s="48"/>
      <c r="AB319" s="48"/>
      <c r="AC319" s="48"/>
      <c r="AD319" s="48"/>
      <c r="AE319" s="48"/>
      <c r="AF319" s="48"/>
      <c r="AG319" s="48"/>
      <c r="AH319" s="48"/>
      <c r="AI319" s="48"/>
      <c r="AJ319" s="48"/>
      <c r="AK319" s="48"/>
      <c r="AL319" s="48"/>
      <c r="AM319" s="48"/>
      <c r="AN319" s="48"/>
      <c r="AO319" s="48"/>
      <c r="AP319" s="48"/>
      <c r="AQ319" s="48"/>
      <c r="AR319" s="48"/>
      <c r="AS319" s="48"/>
      <c r="AT319" s="48"/>
      <c r="AU319" s="48"/>
      <c r="AV319" s="48"/>
      <c r="AW319" s="48"/>
      <c r="AX319" s="48"/>
      <c r="AY319" s="48"/>
      <c r="AZ319" s="48"/>
      <c r="BA319" s="48"/>
      <c r="BB319" s="48"/>
      <c r="BC319" s="48"/>
      <c r="BD319" s="48"/>
    </row>
    <row r="320" spans="1:56" x14ac:dyDescent="0.25">
      <c r="A320" s="48"/>
      <c r="B320" s="48"/>
      <c r="C320" s="48"/>
      <c r="D320" s="48"/>
      <c r="E320" s="48"/>
      <c r="F320" s="48"/>
      <c r="G320" s="48"/>
      <c r="H320" s="48"/>
      <c r="I320" s="48"/>
      <c r="J320" s="48"/>
      <c r="K320" s="48"/>
      <c r="L320" s="48"/>
      <c r="M320" s="48"/>
      <c r="N320" s="48"/>
      <c r="O320" s="48"/>
      <c r="P320" s="48"/>
      <c r="Q320" s="48"/>
      <c r="R320" s="48"/>
      <c r="S320" s="48"/>
      <c r="T320" s="48"/>
      <c r="U320" s="48"/>
      <c r="V320" s="48"/>
      <c r="W320" s="48"/>
      <c r="X320" s="48"/>
      <c r="Y320" s="48"/>
      <c r="Z320" s="48"/>
      <c r="AA320" s="48"/>
      <c r="AB320" s="48"/>
      <c r="AC320" s="48"/>
      <c r="AD320" s="48"/>
      <c r="AE320" s="48"/>
      <c r="AF320" s="48"/>
      <c r="AG320" s="48"/>
      <c r="AH320" s="48"/>
      <c r="AI320" s="48"/>
      <c r="AJ320" s="48"/>
      <c r="AK320" s="48"/>
      <c r="AL320" s="48"/>
      <c r="AM320" s="48"/>
      <c r="AN320" s="48"/>
      <c r="AO320" s="48"/>
      <c r="AP320" s="48"/>
      <c r="AQ320" s="48"/>
      <c r="AR320" s="48"/>
      <c r="AS320" s="48"/>
      <c r="AT320" s="48"/>
      <c r="AU320" s="48"/>
      <c r="AV320" s="48"/>
      <c r="AW320" s="48"/>
      <c r="AX320" s="48"/>
      <c r="AY320" s="48"/>
      <c r="AZ320" s="48"/>
      <c r="BA320" s="48"/>
      <c r="BB320" s="48"/>
      <c r="BC320" s="48"/>
      <c r="BD320" s="48"/>
    </row>
    <row r="321" spans="1:56" x14ac:dyDescent="0.25">
      <c r="A321" s="48"/>
      <c r="B321" s="48"/>
      <c r="C321" s="48"/>
      <c r="D321" s="48"/>
      <c r="E321" s="48"/>
      <c r="F321" s="48"/>
      <c r="G321" s="48"/>
      <c r="H321" s="48"/>
      <c r="I321" s="48"/>
      <c r="J321" s="48"/>
      <c r="K321" s="48"/>
      <c r="L321" s="48"/>
      <c r="M321" s="48"/>
      <c r="N321" s="48"/>
      <c r="O321" s="48"/>
      <c r="P321" s="48"/>
      <c r="Q321" s="48"/>
      <c r="R321" s="48"/>
      <c r="S321" s="48"/>
      <c r="T321" s="48"/>
      <c r="U321" s="48"/>
      <c r="V321" s="48"/>
      <c r="W321" s="48"/>
      <c r="X321" s="48"/>
      <c r="Y321" s="48"/>
      <c r="Z321" s="48"/>
      <c r="AA321" s="48"/>
      <c r="AB321" s="48"/>
      <c r="AC321" s="48"/>
      <c r="AD321" s="48"/>
      <c r="AE321" s="48"/>
      <c r="AF321" s="48"/>
      <c r="AG321" s="48"/>
      <c r="AH321" s="48"/>
      <c r="AI321" s="48"/>
      <c r="AJ321" s="48"/>
      <c r="AK321" s="48"/>
      <c r="AL321" s="48"/>
      <c r="AM321" s="48"/>
      <c r="AN321" s="48"/>
      <c r="AO321" s="48"/>
      <c r="AP321" s="48"/>
      <c r="AQ321" s="48"/>
      <c r="AR321" s="48"/>
      <c r="AS321" s="48"/>
      <c r="AT321" s="48"/>
      <c r="AU321" s="48"/>
      <c r="AV321" s="48"/>
      <c r="AW321" s="48"/>
      <c r="AX321" s="48"/>
      <c r="AY321" s="48"/>
      <c r="AZ321" s="48"/>
      <c r="BA321" s="48"/>
      <c r="BB321" s="48"/>
      <c r="BC321" s="48"/>
      <c r="BD321" s="48"/>
    </row>
    <row r="322" spans="1:56" x14ac:dyDescent="0.25">
      <c r="A322" s="48"/>
      <c r="B322" s="48"/>
      <c r="C322" s="48"/>
      <c r="D322" s="48"/>
      <c r="E322" s="48"/>
      <c r="F322" s="48"/>
      <c r="G322" s="48"/>
      <c r="H322" s="48"/>
      <c r="I322" s="48"/>
      <c r="J322" s="48"/>
      <c r="K322" s="48"/>
      <c r="L322" s="48"/>
      <c r="M322" s="48"/>
      <c r="N322" s="48"/>
      <c r="O322" s="48"/>
      <c r="P322" s="48"/>
      <c r="Q322" s="48"/>
      <c r="R322" s="48"/>
      <c r="S322" s="48"/>
      <c r="T322" s="48"/>
      <c r="U322" s="48"/>
      <c r="V322" s="48"/>
      <c r="W322" s="48"/>
      <c r="X322" s="48"/>
      <c r="Y322" s="48"/>
      <c r="Z322" s="48"/>
      <c r="AA322" s="48"/>
      <c r="AB322" s="48"/>
      <c r="AC322" s="48"/>
      <c r="AD322" s="48"/>
      <c r="AE322" s="48"/>
      <c r="AF322" s="48"/>
      <c r="AG322" s="48"/>
      <c r="AH322" s="48"/>
      <c r="AI322" s="48"/>
      <c r="AJ322" s="48"/>
      <c r="AK322" s="48"/>
      <c r="AL322" s="48"/>
      <c r="AM322" s="48"/>
      <c r="AN322" s="48"/>
      <c r="AO322" s="48"/>
      <c r="AP322" s="48"/>
      <c r="AQ322" s="48"/>
      <c r="AR322" s="48"/>
      <c r="AS322" s="48"/>
      <c r="AT322" s="48"/>
      <c r="AU322" s="48"/>
      <c r="AV322" s="48"/>
      <c r="AW322" s="48"/>
      <c r="AX322" s="48"/>
      <c r="AY322" s="48"/>
      <c r="AZ322" s="48"/>
      <c r="BA322" s="48"/>
      <c r="BB322" s="48"/>
      <c r="BC322" s="48"/>
      <c r="BD322" s="48"/>
    </row>
    <row r="323" spans="1:56" x14ac:dyDescent="0.25">
      <c r="A323" s="48"/>
      <c r="B323" s="48"/>
      <c r="C323" s="48"/>
      <c r="D323" s="48"/>
      <c r="E323" s="48"/>
      <c r="F323" s="48"/>
      <c r="G323" s="48"/>
      <c r="H323" s="48"/>
      <c r="I323" s="48"/>
      <c r="J323" s="48"/>
      <c r="K323" s="48"/>
      <c r="L323" s="48"/>
      <c r="M323" s="48"/>
      <c r="N323" s="48"/>
      <c r="O323" s="48"/>
      <c r="P323" s="48"/>
      <c r="Q323" s="48"/>
      <c r="R323" s="48"/>
      <c r="S323" s="48"/>
      <c r="T323" s="48"/>
      <c r="U323" s="48"/>
      <c r="V323" s="48"/>
      <c r="W323" s="48"/>
      <c r="X323" s="48"/>
      <c r="Y323" s="48"/>
      <c r="Z323" s="48"/>
      <c r="AA323" s="48"/>
      <c r="AB323" s="48"/>
      <c r="AC323" s="48"/>
      <c r="AD323" s="48"/>
      <c r="AE323" s="48"/>
      <c r="AF323" s="48"/>
      <c r="AG323" s="48"/>
      <c r="AH323" s="48"/>
      <c r="AI323" s="48"/>
      <c r="AJ323" s="48"/>
      <c r="AK323" s="48"/>
      <c r="AL323" s="48"/>
      <c r="AM323" s="48"/>
      <c r="AN323" s="48"/>
      <c r="AO323" s="48"/>
      <c r="AP323" s="48"/>
      <c r="AQ323" s="48"/>
      <c r="AR323" s="48"/>
      <c r="AS323" s="48"/>
      <c r="AT323" s="48"/>
      <c r="AU323" s="48"/>
      <c r="AV323" s="48"/>
      <c r="AW323" s="48"/>
      <c r="AX323" s="48"/>
      <c r="AY323" s="48"/>
      <c r="AZ323" s="48"/>
      <c r="BA323" s="48"/>
      <c r="BB323" s="48"/>
      <c r="BC323" s="48"/>
      <c r="BD323" s="48"/>
    </row>
    <row r="324" spans="1:56" x14ac:dyDescent="0.25">
      <c r="A324" s="48"/>
      <c r="B324" s="48"/>
      <c r="C324" s="48"/>
      <c r="D324" s="48"/>
      <c r="E324" s="48"/>
      <c r="F324" s="48"/>
      <c r="G324" s="48"/>
      <c r="H324" s="48"/>
      <c r="I324" s="48"/>
      <c r="J324" s="48"/>
      <c r="K324" s="48"/>
      <c r="L324" s="48"/>
      <c r="M324" s="48"/>
      <c r="N324" s="48"/>
      <c r="O324" s="48"/>
      <c r="P324" s="48"/>
      <c r="Q324" s="48"/>
      <c r="R324" s="48"/>
      <c r="S324" s="48"/>
      <c r="T324" s="48"/>
      <c r="U324" s="48"/>
      <c r="V324" s="48"/>
      <c r="W324" s="48"/>
      <c r="X324" s="48"/>
      <c r="Y324" s="48"/>
      <c r="Z324" s="48"/>
      <c r="AA324" s="48"/>
      <c r="AB324" s="48"/>
      <c r="AC324" s="48"/>
      <c r="AD324" s="48"/>
      <c r="AE324" s="48"/>
      <c r="AF324" s="48"/>
      <c r="AG324" s="48"/>
      <c r="AH324" s="48"/>
      <c r="AI324" s="48"/>
      <c r="AJ324" s="48"/>
      <c r="AK324" s="48"/>
      <c r="AL324" s="48"/>
      <c r="AM324" s="48"/>
      <c r="AN324" s="48"/>
      <c r="AO324" s="48"/>
      <c r="AP324" s="48"/>
      <c r="AQ324" s="48"/>
      <c r="AR324" s="48"/>
      <c r="AS324" s="48"/>
      <c r="AT324" s="48"/>
      <c r="AU324" s="48"/>
      <c r="AV324" s="48"/>
      <c r="AW324" s="48"/>
      <c r="AX324" s="48"/>
      <c r="AY324" s="48"/>
      <c r="AZ324" s="48"/>
      <c r="BA324" s="48"/>
      <c r="BB324" s="48"/>
      <c r="BC324" s="48"/>
      <c r="BD324" s="48"/>
    </row>
    <row r="325" spans="1:56" x14ac:dyDescent="0.25">
      <c r="A325" s="48"/>
      <c r="B325" s="48"/>
      <c r="C325" s="48"/>
      <c r="D325" s="48"/>
      <c r="E325" s="48"/>
      <c r="F325" s="48"/>
      <c r="G325" s="48"/>
      <c r="H325" s="48"/>
      <c r="I325" s="48"/>
      <c r="J325" s="48"/>
      <c r="K325" s="48"/>
      <c r="L325" s="48"/>
      <c r="M325" s="48"/>
      <c r="N325" s="48"/>
      <c r="O325" s="48"/>
      <c r="P325" s="48"/>
      <c r="Q325" s="48"/>
      <c r="R325" s="48"/>
      <c r="S325" s="48"/>
      <c r="T325" s="48"/>
      <c r="U325" s="48"/>
      <c r="V325" s="48"/>
      <c r="W325" s="48"/>
      <c r="X325" s="48"/>
      <c r="Y325" s="48"/>
      <c r="Z325" s="48"/>
      <c r="AA325" s="48"/>
      <c r="AB325" s="48"/>
      <c r="AC325" s="48"/>
      <c r="AD325" s="48"/>
      <c r="AE325" s="48"/>
      <c r="AF325" s="48"/>
      <c r="AG325" s="48"/>
      <c r="AH325" s="48"/>
      <c r="AI325" s="48"/>
      <c r="AJ325" s="48"/>
      <c r="AK325" s="48"/>
      <c r="AL325" s="48"/>
      <c r="AM325" s="48"/>
      <c r="AN325" s="48"/>
      <c r="AO325" s="48"/>
      <c r="AP325" s="48"/>
      <c r="AQ325" s="48"/>
      <c r="AR325" s="48"/>
      <c r="AS325" s="48"/>
      <c r="AT325" s="48"/>
      <c r="AU325" s="48"/>
      <c r="AV325" s="48"/>
      <c r="AW325" s="48"/>
      <c r="AX325" s="48"/>
      <c r="AY325" s="48"/>
      <c r="AZ325" s="48"/>
      <c r="BA325" s="48"/>
      <c r="BB325" s="48"/>
      <c r="BC325" s="48"/>
      <c r="BD325" s="48"/>
    </row>
    <row r="326" spans="1:56" x14ac:dyDescent="0.25">
      <c r="A326" s="48"/>
      <c r="B326" s="48"/>
      <c r="C326" s="48"/>
      <c r="D326" s="48"/>
      <c r="E326" s="48"/>
      <c r="F326" s="48"/>
      <c r="G326" s="48"/>
      <c r="H326" s="48"/>
      <c r="I326" s="48"/>
      <c r="J326" s="48"/>
      <c r="K326" s="48"/>
      <c r="L326" s="48"/>
      <c r="M326" s="48"/>
      <c r="N326" s="48"/>
      <c r="O326" s="48"/>
      <c r="P326" s="48"/>
      <c r="Q326" s="48"/>
      <c r="R326" s="48"/>
      <c r="S326" s="48"/>
      <c r="T326" s="48"/>
      <c r="U326" s="48"/>
      <c r="V326" s="48"/>
      <c r="W326" s="48"/>
      <c r="X326" s="48"/>
      <c r="Y326" s="48"/>
      <c r="Z326" s="48"/>
      <c r="AA326" s="48"/>
      <c r="AB326" s="48"/>
      <c r="AC326" s="48"/>
      <c r="AD326" s="48"/>
      <c r="AE326" s="48"/>
      <c r="AF326" s="48"/>
      <c r="AG326" s="48"/>
      <c r="AH326" s="48"/>
      <c r="AI326" s="48"/>
      <c r="AJ326" s="48"/>
      <c r="AK326" s="48"/>
      <c r="AL326" s="48"/>
      <c r="AM326" s="48"/>
      <c r="AN326" s="48"/>
      <c r="AO326" s="48"/>
      <c r="AP326" s="48"/>
      <c r="AQ326" s="48"/>
      <c r="AR326" s="48"/>
      <c r="AS326" s="48"/>
      <c r="AT326" s="48"/>
      <c r="AU326" s="48"/>
      <c r="AV326" s="48"/>
      <c r="AW326" s="48"/>
      <c r="AX326" s="48"/>
      <c r="AY326" s="48"/>
      <c r="AZ326" s="48"/>
      <c r="BA326" s="48"/>
      <c r="BB326" s="48"/>
      <c r="BC326" s="48"/>
      <c r="BD326" s="48"/>
    </row>
    <row r="327" spans="1:56" x14ac:dyDescent="0.25">
      <c r="A327" s="48"/>
      <c r="B327" s="48"/>
      <c r="C327" s="48"/>
      <c r="D327" s="48"/>
      <c r="E327" s="48"/>
      <c r="F327" s="48"/>
      <c r="G327" s="48"/>
      <c r="H327" s="48"/>
      <c r="I327" s="48"/>
      <c r="J327" s="48"/>
      <c r="K327" s="48"/>
      <c r="L327" s="48"/>
      <c r="M327" s="48"/>
      <c r="N327" s="48"/>
      <c r="O327" s="48"/>
      <c r="P327" s="48"/>
      <c r="Q327" s="48"/>
      <c r="R327" s="48"/>
      <c r="S327" s="48"/>
      <c r="T327" s="48"/>
      <c r="U327" s="48"/>
      <c r="V327" s="48"/>
      <c r="W327" s="48"/>
      <c r="X327" s="48"/>
      <c r="Y327" s="48"/>
      <c r="Z327" s="48"/>
      <c r="AA327" s="48"/>
      <c r="AB327" s="48"/>
      <c r="AC327" s="48"/>
      <c r="AD327" s="48"/>
      <c r="AE327" s="48"/>
      <c r="AF327" s="48"/>
      <c r="AG327" s="48"/>
      <c r="AH327" s="48"/>
      <c r="AI327" s="48"/>
      <c r="AJ327" s="48"/>
      <c r="AK327" s="48"/>
      <c r="AL327" s="48"/>
      <c r="AM327" s="48"/>
      <c r="AN327" s="48"/>
      <c r="AO327" s="48"/>
      <c r="AP327" s="48"/>
      <c r="AQ327" s="48"/>
      <c r="AR327" s="48"/>
      <c r="AS327" s="48"/>
      <c r="AT327" s="48"/>
      <c r="AU327" s="48"/>
      <c r="AV327" s="48"/>
      <c r="AW327" s="48"/>
      <c r="AX327" s="48"/>
      <c r="AY327" s="48"/>
      <c r="AZ327" s="48"/>
      <c r="BA327" s="48"/>
      <c r="BB327" s="48"/>
      <c r="BC327" s="48"/>
      <c r="BD327" s="48"/>
    </row>
    <row r="328" spans="1:56" x14ac:dyDescent="0.25">
      <c r="A328" s="48"/>
      <c r="B328" s="48"/>
      <c r="C328" s="48"/>
      <c r="D328" s="48"/>
      <c r="E328" s="48"/>
      <c r="F328" s="48"/>
      <c r="G328" s="48"/>
      <c r="H328" s="48"/>
      <c r="I328" s="48"/>
      <c r="J328" s="48"/>
      <c r="K328" s="48"/>
      <c r="L328" s="48"/>
      <c r="M328" s="48"/>
      <c r="N328" s="48"/>
      <c r="O328" s="48"/>
      <c r="P328" s="48"/>
      <c r="Q328" s="48"/>
      <c r="R328" s="48"/>
      <c r="S328" s="48"/>
      <c r="T328" s="48"/>
      <c r="U328" s="48"/>
      <c r="V328" s="48"/>
      <c r="W328" s="48"/>
      <c r="X328" s="48"/>
      <c r="Y328" s="48"/>
      <c r="Z328" s="48"/>
      <c r="AA328" s="48"/>
      <c r="AB328" s="48"/>
      <c r="AC328" s="48"/>
      <c r="AD328" s="48"/>
      <c r="AE328" s="48"/>
      <c r="AF328" s="48"/>
      <c r="AG328" s="48"/>
      <c r="AH328" s="48"/>
      <c r="AI328" s="48"/>
      <c r="AJ328" s="48"/>
      <c r="AK328" s="48"/>
      <c r="AL328" s="48"/>
      <c r="AM328" s="48"/>
      <c r="AN328" s="48"/>
      <c r="AO328" s="48"/>
      <c r="AP328" s="48"/>
      <c r="AQ328" s="48"/>
      <c r="AR328" s="48"/>
      <c r="AS328" s="48"/>
      <c r="AT328" s="48"/>
      <c r="AU328" s="48"/>
      <c r="AV328" s="48"/>
      <c r="AW328" s="48"/>
      <c r="AX328" s="48"/>
      <c r="AY328" s="48"/>
      <c r="AZ328" s="48"/>
      <c r="BA328" s="48"/>
      <c r="BB328" s="48"/>
      <c r="BC328" s="48"/>
      <c r="BD328" s="48"/>
    </row>
    <row r="329" spans="1:56" x14ac:dyDescent="0.25">
      <c r="A329" s="48"/>
      <c r="B329" s="48"/>
      <c r="C329" s="48"/>
      <c r="D329" s="48"/>
      <c r="E329" s="48"/>
      <c r="F329" s="48"/>
      <c r="G329" s="48"/>
      <c r="H329" s="48"/>
      <c r="I329" s="48"/>
      <c r="J329" s="48"/>
      <c r="K329" s="48"/>
      <c r="L329" s="48"/>
      <c r="M329" s="48"/>
      <c r="N329" s="48"/>
      <c r="O329" s="48"/>
      <c r="P329" s="48"/>
      <c r="Q329" s="48"/>
      <c r="R329" s="48"/>
      <c r="S329" s="48"/>
      <c r="T329" s="48"/>
      <c r="U329" s="48"/>
      <c r="V329" s="48"/>
      <c r="W329" s="48"/>
      <c r="X329" s="48"/>
      <c r="Y329" s="48"/>
      <c r="Z329" s="48"/>
      <c r="AA329" s="48"/>
      <c r="AB329" s="48"/>
      <c r="AC329" s="48"/>
      <c r="AD329" s="48"/>
      <c r="AE329" s="48"/>
      <c r="AF329" s="48"/>
      <c r="AG329" s="48"/>
      <c r="AH329" s="48"/>
      <c r="AI329" s="48"/>
      <c r="AJ329" s="48"/>
      <c r="AK329" s="48"/>
      <c r="AL329" s="48"/>
      <c r="AM329" s="48"/>
      <c r="AN329" s="48"/>
      <c r="AO329" s="48"/>
      <c r="AP329" s="48"/>
      <c r="AQ329" s="48"/>
      <c r="AR329" s="48"/>
      <c r="AS329" s="48"/>
      <c r="AT329" s="48"/>
      <c r="AU329" s="48"/>
      <c r="AV329" s="48"/>
      <c r="AW329" s="48"/>
      <c r="AX329" s="48"/>
      <c r="AY329" s="48"/>
      <c r="AZ329" s="48"/>
      <c r="BA329" s="48"/>
      <c r="BB329" s="48"/>
      <c r="BC329" s="48"/>
      <c r="BD329" s="48"/>
    </row>
    <row r="330" spans="1:56" x14ac:dyDescent="0.25">
      <c r="A330" s="48"/>
      <c r="B330" s="48"/>
      <c r="C330" s="48"/>
      <c r="D330" s="48"/>
      <c r="E330" s="48"/>
      <c r="F330" s="48"/>
      <c r="G330" s="48"/>
      <c r="H330" s="48"/>
      <c r="I330" s="48"/>
      <c r="J330" s="48"/>
      <c r="K330" s="48"/>
      <c r="L330" s="48"/>
      <c r="M330" s="48"/>
      <c r="N330" s="48"/>
      <c r="O330" s="48"/>
      <c r="P330" s="48"/>
      <c r="Q330" s="48"/>
      <c r="R330" s="48"/>
      <c r="S330" s="48"/>
      <c r="T330" s="48"/>
      <c r="U330" s="48"/>
      <c r="V330" s="48"/>
      <c r="W330" s="48"/>
      <c r="X330" s="48"/>
      <c r="Y330" s="48"/>
      <c r="Z330" s="48"/>
      <c r="AA330" s="48"/>
      <c r="AB330" s="48"/>
      <c r="AC330" s="48"/>
      <c r="AD330" s="48"/>
      <c r="AE330" s="48"/>
      <c r="AF330" s="48"/>
      <c r="AG330" s="48"/>
      <c r="AH330" s="48"/>
      <c r="AI330" s="48"/>
      <c r="AJ330" s="48"/>
      <c r="AK330" s="48"/>
      <c r="AL330" s="48"/>
      <c r="AM330" s="48"/>
      <c r="AN330" s="48"/>
      <c r="AO330" s="48"/>
      <c r="AP330" s="48"/>
      <c r="AQ330" s="48"/>
      <c r="AR330" s="48"/>
      <c r="AS330" s="48"/>
      <c r="AT330" s="48"/>
      <c r="AU330" s="48"/>
      <c r="AV330" s="48"/>
      <c r="AW330" s="48"/>
      <c r="AX330" s="48"/>
      <c r="AY330" s="48"/>
      <c r="AZ330" s="48"/>
      <c r="BA330" s="48"/>
      <c r="BB330" s="48"/>
      <c r="BC330" s="48"/>
      <c r="BD330" s="48"/>
    </row>
    <row r="331" spans="1:56" x14ac:dyDescent="0.25">
      <c r="A331" s="48"/>
      <c r="B331" s="48"/>
      <c r="C331" s="48"/>
      <c r="D331" s="48"/>
      <c r="E331" s="48"/>
      <c r="F331" s="48"/>
      <c r="G331" s="48"/>
      <c r="H331" s="48"/>
      <c r="I331" s="48"/>
      <c r="J331" s="48"/>
      <c r="K331" s="48"/>
      <c r="L331" s="48"/>
      <c r="M331" s="48"/>
      <c r="N331" s="48"/>
      <c r="O331" s="48"/>
      <c r="P331" s="48"/>
      <c r="Q331" s="48"/>
      <c r="R331" s="48"/>
      <c r="S331" s="48"/>
      <c r="T331" s="48"/>
      <c r="U331" s="48"/>
      <c r="V331" s="48"/>
      <c r="W331" s="48"/>
      <c r="X331" s="48"/>
      <c r="Y331" s="48"/>
      <c r="Z331" s="48"/>
      <c r="AA331" s="48"/>
      <c r="AB331" s="48"/>
      <c r="AC331" s="48"/>
      <c r="AD331" s="48"/>
      <c r="AE331" s="48"/>
      <c r="AF331" s="48"/>
      <c r="AG331" s="48"/>
      <c r="AH331" s="48"/>
      <c r="AI331" s="48"/>
      <c r="AJ331" s="48"/>
      <c r="AK331" s="48"/>
      <c r="AL331" s="48"/>
      <c r="AM331" s="48"/>
      <c r="AN331" s="48"/>
      <c r="AO331" s="48"/>
      <c r="AP331" s="48"/>
      <c r="AQ331" s="48"/>
      <c r="AR331" s="48"/>
      <c r="AS331" s="48"/>
      <c r="AT331" s="48"/>
      <c r="AU331" s="48"/>
      <c r="AV331" s="48"/>
      <c r="AW331" s="48"/>
      <c r="AX331" s="48"/>
      <c r="AY331" s="48"/>
      <c r="AZ331" s="48"/>
      <c r="BA331" s="48"/>
      <c r="BB331" s="48"/>
      <c r="BC331" s="48"/>
      <c r="BD331" s="48"/>
    </row>
    <row r="332" spans="1:56" x14ac:dyDescent="0.25">
      <c r="A332" s="48"/>
      <c r="B332" s="48"/>
      <c r="C332" s="48"/>
      <c r="D332" s="48"/>
      <c r="E332" s="48"/>
      <c r="F332" s="48"/>
      <c r="G332" s="48"/>
      <c r="H332" s="48"/>
      <c r="I332" s="48"/>
      <c r="J332" s="48"/>
      <c r="K332" s="48"/>
      <c r="L332" s="48"/>
      <c r="M332" s="48"/>
      <c r="N332" s="48"/>
      <c r="O332" s="48"/>
      <c r="P332" s="48"/>
      <c r="Q332" s="48"/>
      <c r="R332" s="48"/>
      <c r="S332" s="48"/>
      <c r="T332" s="48"/>
      <c r="U332" s="48"/>
      <c r="V332" s="48"/>
      <c r="W332" s="48"/>
      <c r="X332" s="48"/>
      <c r="Y332" s="48"/>
      <c r="Z332" s="48"/>
      <c r="AA332" s="48"/>
      <c r="AB332" s="48"/>
      <c r="AC332" s="48"/>
      <c r="AD332" s="48"/>
      <c r="AE332" s="48"/>
      <c r="AF332" s="48"/>
      <c r="AG332" s="48"/>
      <c r="AH332" s="48"/>
      <c r="AI332" s="48"/>
      <c r="AJ332" s="48"/>
      <c r="AK332" s="48"/>
      <c r="AL332" s="48"/>
      <c r="AM332" s="48"/>
      <c r="AN332" s="48"/>
      <c r="AO332" s="48"/>
      <c r="AP332" s="48"/>
      <c r="AQ332" s="48"/>
      <c r="AR332" s="48"/>
      <c r="AS332" s="48"/>
      <c r="AT332" s="48"/>
      <c r="AU332" s="48"/>
      <c r="AV332" s="48"/>
      <c r="AW332" s="48"/>
      <c r="AX332" s="48"/>
      <c r="AY332" s="48"/>
      <c r="AZ332" s="48"/>
      <c r="BA332" s="48"/>
      <c r="BB332" s="48"/>
      <c r="BC332" s="48"/>
      <c r="BD332" s="48"/>
    </row>
    <row r="333" spans="1:56" x14ac:dyDescent="0.25">
      <c r="A333" s="48"/>
      <c r="B333" s="48"/>
      <c r="C333" s="48"/>
      <c r="D333" s="48"/>
      <c r="E333" s="48"/>
      <c r="F333" s="48"/>
      <c r="G333" s="48"/>
      <c r="H333" s="48"/>
      <c r="I333" s="48"/>
      <c r="J333" s="48"/>
      <c r="K333" s="48"/>
      <c r="L333" s="48"/>
      <c r="M333" s="48"/>
      <c r="N333" s="48"/>
      <c r="O333" s="48"/>
      <c r="P333" s="48"/>
      <c r="Q333" s="48"/>
      <c r="R333" s="48"/>
      <c r="S333" s="48"/>
      <c r="T333" s="48"/>
      <c r="U333" s="48"/>
      <c r="V333" s="48"/>
      <c r="W333" s="48"/>
      <c r="X333" s="48"/>
      <c r="Y333" s="48"/>
      <c r="Z333" s="48"/>
      <c r="AA333" s="48"/>
      <c r="AB333" s="48"/>
      <c r="AC333" s="48"/>
      <c r="AD333" s="48"/>
      <c r="AE333" s="48"/>
      <c r="AF333" s="48"/>
      <c r="AG333" s="48"/>
      <c r="AH333" s="48"/>
      <c r="AI333" s="48"/>
      <c r="AJ333" s="48"/>
      <c r="AK333" s="48"/>
      <c r="AL333" s="48"/>
      <c r="AM333" s="48"/>
      <c r="AN333" s="48"/>
      <c r="AO333" s="48"/>
      <c r="AP333" s="48"/>
      <c r="AQ333" s="48"/>
      <c r="AR333" s="48"/>
      <c r="AS333" s="48"/>
      <c r="AT333" s="48"/>
      <c r="AU333" s="48"/>
      <c r="AV333" s="48"/>
      <c r="AW333" s="48"/>
      <c r="AX333" s="48"/>
      <c r="AY333" s="48"/>
      <c r="AZ333" s="48"/>
      <c r="BA333" s="48"/>
      <c r="BB333" s="48"/>
      <c r="BC333" s="48"/>
      <c r="BD333" s="48"/>
    </row>
    <row r="334" spans="1:56" x14ac:dyDescent="0.25">
      <c r="A334" s="48"/>
      <c r="B334" s="48"/>
      <c r="C334" s="48"/>
      <c r="D334" s="48"/>
      <c r="E334" s="48"/>
      <c r="F334" s="48"/>
      <c r="G334" s="48"/>
      <c r="H334" s="48"/>
      <c r="I334" s="48"/>
      <c r="J334" s="48"/>
      <c r="K334" s="48"/>
      <c r="L334" s="48"/>
      <c r="M334" s="48"/>
      <c r="N334" s="48"/>
      <c r="O334" s="48"/>
      <c r="P334" s="48"/>
      <c r="Q334" s="48"/>
      <c r="R334" s="48"/>
      <c r="S334" s="48"/>
      <c r="T334" s="48"/>
      <c r="U334" s="48"/>
      <c r="V334" s="48"/>
      <c r="W334" s="48"/>
      <c r="X334" s="48"/>
      <c r="Y334" s="48"/>
      <c r="Z334" s="48"/>
      <c r="AA334" s="48"/>
      <c r="AB334" s="48"/>
      <c r="AC334" s="48"/>
      <c r="AD334" s="48"/>
      <c r="AE334" s="48"/>
      <c r="AF334" s="48"/>
      <c r="AG334" s="48"/>
      <c r="AH334" s="48"/>
      <c r="AI334" s="48"/>
      <c r="AJ334" s="48"/>
      <c r="AK334" s="48"/>
      <c r="AL334" s="48"/>
      <c r="AM334" s="48"/>
      <c r="AN334" s="48"/>
      <c r="AO334" s="48"/>
      <c r="AP334" s="48"/>
      <c r="AQ334" s="48"/>
      <c r="AR334" s="48"/>
      <c r="AS334" s="48"/>
      <c r="AT334" s="48"/>
      <c r="AU334" s="48"/>
      <c r="AV334" s="48"/>
      <c r="AW334" s="48"/>
      <c r="AX334" s="48"/>
      <c r="AY334" s="48"/>
      <c r="AZ334" s="48"/>
      <c r="BA334" s="48"/>
      <c r="BB334" s="48"/>
      <c r="BC334" s="48"/>
      <c r="BD334" s="48"/>
    </row>
    <row r="335" spans="1:56" x14ac:dyDescent="0.25">
      <c r="A335" s="48"/>
      <c r="B335" s="48"/>
      <c r="C335" s="48"/>
      <c r="D335" s="48"/>
      <c r="E335" s="48"/>
      <c r="F335" s="48"/>
      <c r="G335" s="48"/>
      <c r="H335" s="48"/>
      <c r="I335" s="48"/>
      <c r="J335" s="48"/>
      <c r="K335" s="48"/>
      <c r="L335" s="48"/>
      <c r="M335" s="48"/>
      <c r="N335" s="48"/>
      <c r="O335" s="48"/>
      <c r="P335" s="48"/>
      <c r="Q335" s="48"/>
      <c r="R335" s="48"/>
      <c r="S335" s="48"/>
      <c r="T335" s="48"/>
      <c r="U335" s="48"/>
      <c r="V335" s="48"/>
      <c r="W335" s="48"/>
      <c r="X335" s="48"/>
      <c r="Y335" s="48"/>
      <c r="Z335" s="48"/>
      <c r="AA335" s="48"/>
      <c r="AB335" s="48"/>
      <c r="AC335" s="48"/>
      <c r="AD335" s="48"/>
      <c r="AE335" s="48"/>
      <c r="AF335" s="48"/>
      <c r="AG335" s="48"/>
      <c r="AH335" s="48"/>
      <c r="AI335" s="48"/>
      <c r="AJ335" s="48"/>
      <c r="AK335" s="48"/>
      <c r="AL335" s="48"/>
      <c r="AM335" s="48"/>
      <c r="AN335" s="48"/>
      <c r="AO335" s="48"/>
      <c r="AP335" s="48"/>
      <c r="AQ335" s="48"/>
      <c r="AR335" s="48"/>
      <c r="AS335" s="48"/>
      <c r="AT335" s="48"/>
      <c r="AU335" s="48"/>
      <c r="AV335" s="48"/>
      <c r="AW335" s="48"/>
      <c r="AX335" s="48"/>
      <c r="AY335" s="48"/>
      <c r="AZ335" s="48"/>
      <c r="BA335" s="48"/>
      <c r="BB335" s="48"/>
      <c r="BC335" s="48"/>
      <c r="BD335" s="48"/>
    </row>
    <row r="336" spans="1:56" x14ac:dyDescent="0.25">
      <c r="A336" s="48"/>
      <c r="B336" s="48"/>
      <c r="C336" s="48"/>
      <c r="D336" s="48"/>
      <c r="E336" s="48"/>
      <c r="F336" s="48"/>
      <c r="G336" s="48"/>
      <c r="H336" s="48"/>
      <c r="I336" s="48"/>
      <c r="J336" s="48"/>
      <c r="K336" s="48"/>
      <c r="L336" s="48"/>
      <c r="M336" s="48"/>
      <c r="N336" s="48"/>
      <c r="O336" s="48"/>
      <c r="P336" s="48"/>
      <c r="Q336" s="48"/>
      <c r="R336" s="48"/>
      <c r="S336" s="48"/>
      <c r="T336" s="48"/>
      <c r="U336" s="48"/>
      <c r="V336" s="48"/>
      <c r="W336" s="48"/>
      <c r="X336" s="48"/>
      <c r="Y336" s="48"/>
      <c r="Z336" s="48"/>
      <c r="AA336" s="48"/>
      <c r="AB336" s="48"/>
      <c r="AC336" s="48"/>
      <c r="AD336" s="48"/>
      <c r="AE336" s="48"/>
      <c r="AF336" s="48"/>
      <c r="AG336" s="48"/>
      <c r="AH336" s="48"/>
      <c r="AI336" s="48"/>
      <c r="AJ336" s="48"/>
      <c r="AK336" s="48"/>
      <c r="AL336" s="48"/>
      <c r="AM336" s="48"/>
      <c r="AN336" s="48"/>
      <c r="AO336" s="48"/>
      <c r="AP336" s="48"/>
      <c r="AQ336" s="48"/>
      <c r="AR336" s="48"/>
      <c r="AS336" s="48"/>
      <c r="AT336" s="48"/>
      <c r="AU336" s="48"/>
      <c r="AV336" s="48"/>
      <c r="AW336" s="48"/>
      <c r="AX336" s="48"/>
      <c r="AY336" s="48"/>
      <c r="AZ336" s="48"/>
      <c r="BA336" s="48"/>
      <c r="BB336" s="48"/>
      <c r="BC336" s="48"/>
      <c r="BD336" s="48"/>
    </row>
    <row r="337" spans="1:56" x14ac:dyDescent="0.25">
      <c r="A337" s="48"/>
      <c r="B337" s="48"/>
      <c r="C337" s="48"/>
      <c r="D337" s="48"/>
      <c r="E337" s="48"/>
      <c r="F337" s="48"/>
      <c r="G337" s="48"/>
      <c r="H337" s="48"/>
      <c r="I337" s="48"/>
      <c r="J337" s="48"/>
      <c r="K337" s="48"/>
      <c r="L337" s="48"/>
      <c r="M337" s="48"/>
      <c r="N337" s="48"/>
      <c r="O337" s="48"/>
      <c r="P337" s="48"/>
      <c r="Q337" s="48"/>
      <c r="R337" s="48"/>
      <c r="S337" s="48"/>
      <c r="T337" s="48"/>
      <c r="U337" s="48"/>
      <c r="V337" s="48"/>
      <c r="W337" s="48"/>
      <c r="X337" s="48"/>
      <c r="Y337" s="48"/>
      <c r="Z337" s="48"/>
      <c r="AA337" s="48"/>
      <c r="AB337" s="48"/>
      <c r="AC337" s="48"/>
      <c r="AD337" s="48"/>
      <c r="AE337" s="48"/>
      <c r="AF337" s="48"/>
      <c r="AG337" s="48"/>
      <c r="AH337" s="48"/>
      <c r="AI337" s="48"/>
      <c r="AJ337" s="48"/>
      <c r="AK337" s="48"/>
      <c r="AL337" s="48"/>
      <c r="AM337" s="48"/>
      <c r="AN337" s="48"/>
      <c r="AO337" s="48"/>
      <c r="AP337" s="48"/>
      <c r="AQ337" s="48"/>
      <c r="AR337" s="48"/>
      <c r="AS337" s="48"/>
      <c r="AT337" s="48"/>
      <c r="AU337" s="48"/>
      <c r="AV337" s="48"/>
      <c r="AW337" s="48"/>
      <c r="AX337" s="48"/>
      <c r="AY337" s="48"/>
      <c r="AZ337" s="48"/>
      <c r="BA337" s="48"/>
      <c r="BB337" s="48"/>
      <c r="BC337" s="48"/>
      <c r="BD337" s="48"/>
    </row>
    <row r="338" spans="1:56" x14ac:dyDescent="0.25">
      <c r="A338" s="48"/>
      <c r="B338" s="48"/>
      <c r="C338" s="48"/>
      <c r="D338" s="48"/>
      <c r="E338" s="48"/>
      <c r="F338" s="48"/>
      <c r="G338" s="48"/>
      <c r="H338" s="48"/>
      <c r="I338" s="48"/>
      <c r="J338" s="48"/>
      <c r="K338" s="48"/>
      <c r="L338" s="48"/>
      <c r="M338" s="48"/>
      <c r="N338" s="48"/>
      <c r="O338" s="48"/>
      <c r="P338" s="48"/>
      <c r="Q338" s="48"/>
      <c r="R338" s="48"/>
      <c r="S338" s="48"/>
      <c r="T338" s="48"/>
      <c r="U338" s="48"/>
      <c r="V338" s="48"/>
      <c r="W338" s="48"/>
      <c r="X338" s="48"/>
      <c r="Y338" s="48"/>
      <c r="Z338" s="48"/>
      <c r="AA338" s="48"/>
      <c r="AB338" s="48"/>
      <c r="AC338" s="48"/>
      <c r="AD338" s="48"/>
      <c r="AE338" s="48"/>
      <c r="AF338" s="48"/>
      <c r="AG338" s="48"/>
      <c r="AH338" s="48"/>
      <c r="AI338" s="48"/>
      <c r="AJ338" s="48"/>
      <c r="AK338" s="48"/>
      <c r="AL338" s="48"/>
      <c r="AM338" s="48"/>
      <c r="AN338" s="48"/>
      <c r="AO338" s="48"/>
      <c r="AP338" s="48"/>
      <c r="AQ338" s="48"/>
      <c r="AR338" s="48"/>
      <c r="AS338" s="48"/>
      <c r="AT338" s="48"/>
      <c r="AU338" s="48"/>
      <c r="AV338" s="48"/>
      <c r="AW338" s="48"/>
      <c r="AX338" s="48"/>
      <c r="AY338" s="48"/>
      <c r="AZ338" s="48"/>
      <c r="BA338" s="48"/>
      <c r="BB338" s="48"/>
      <c r="BC338" s="48"/>
      <c r="BD338" s="48"/>
    </row>
    <row r="339" spans="1:56" x14ac:dyDescent="0.25">
      <c r="A339" s="48"/>
      <c r="B339" s="48"/>
      <c r="C339" s="48"/>
      <c r="D339" s="48"/>
      <c r="E339" s="48"/>
      <c r="F339" s="48"/>
      <c r="G339" s="48"/>
      <c r="H339" s="48"/>
      <c r="I339" s="48"/>
      <c r="J339" s="48"/>
      <c r="K339" s="48"/>
      <c r="L339" s="48"/>
      <c r="M339" s="48"/>
      <c r="N339" s="48"/>
      <c r="O339" s="48"/>
      <c r="P339" s="48"/>
      <c r="Q339" s="48"/>
      <c r="R339" s="48"/>
      <c r="S339" s="48"/>
      <c r="T339" s="48"/>
      <c r="U339" s="48"/>
      <c r="V339" s="48"/>
      <c r="W339" s="48"/>
      <c r="X339" s="48"/>
      <c r="Y339" s="48"/>
      <c r="Z339" s="48"/>
      <c r="AA339" s="48"/>
      <c r="AB339" s="48"/>
      <c r="AC339" s="48"/>
      <c r="AD339" s="48"/>
      <c r="AE339" s="48"/>
      <c r="AF339" s="48"/>
      <c r="AG339" s="48"/>
      <c r="AH339" s="48"/>
      <c r="AI339" s="48"/>
      <c r="AJ339" s="48"/>
      <c r="AK339" s="48"/>
      <c r="AL339" s="48"/>
      <c r="AM339" s="48"/>
      <c r="AN339" s="48"/>
      <c r="AO339" s="48"/>
      <c r="AP339" s="48"/>
      <c r="AQ339" s="48"/>
      <c r="AR339" s="48"/>
      <c r="AS339" s="48"/>
      <c r="AT339" s="48"/>
      <c r="AU339" s="48"/>
      <c r="AV339" s="48"/>
      <c r="AW339" s="48"/>
      <c r="AX339" s="48"/>
      <c r="AY339" s="48"/>
      <c r="AZ339" s="48"/>
      <c r="BA339" s="48"/>
      <c r="BB339" s="48"/>
      <c r="BC339" s="48"/>
      <c r="BD339" s="48"/>
    </row>
    <row r="340" spans="1:56" x14ac:dyDescent="0.25">
      <c r="A340" s="48"/>
      <c r="B340" s="48"/>
      <c r="C340" s="48"/>
      <c r="D340" s="48"/>
      <c r="E340" s="48"/>
      <c r="F340" s="48"/>
      <c r="G340" s="48"/>
      <c r="H340" s="48"/>
      <c r="I340" s="48"/>
      <c r="J340" s="48"/>
      <c r="K340" s="48"/>
      <c r="L340" s="48"/>
      <c r="M340" s="48"/>
      <c r="N340" s="48"/>
      <c r="O340" s="48"/>
      <c r="P340" s="48"/>
      <c r="Q340" s="48"/>
      <c r="R340" s="48"/>
      <c r="S340" s="48"/>
      <c r="T340" s="48"/>
      <c r="U340" s="48"/>
      <c r="V340" s="48"/>
      <c r="W340" s="48"/>
      <c r="X340" s="48"/>
      <c r="Y340" s="48"/>
      <c r="Z340" s="48"/>
      <c r="AA340" s="48"/>
      <c r="AB340" s="48"/>
      <c r="AC340" s="48"/>
      <c r="AD340" s="48"/>
      <c r="AE340" s="48"/>
      <c r="AF340" s="48"/>
      <c r="AG340" s="48"/>
      <c r="AH340" s="48"/>
      <c r="AI340" s="48"/>
      <c r="AJ340" s="48"/>
      <c r="AK340" s="48"/>
      <c r="AL340" s="48"/>
      <c r="AM340" s="48"/>
      <c r="AN340" s="48"/>
      <c r="AO340" s="48"/>
      <c r="AP340" s="48"/>
      <c r="AQ340" s="48"/>
      <c r="AR340" s="48"/>
      <c r="AS340" s="48"/>
      <c r="AT340" s="48"/>
      <c r="AU340" s="48"/>
      <c r="AV340" s="48"/>
      <c r="AW340" s="48"/>
      <c r="AX340" s="48"/>
      <c r="AY340" s="48"/>
      <c r="AZ340" s="48"/>
      <c r="BA340" s="48"/>
      <c r="BB340" s="48"/>
      <c r="BC340" s="48"/>
      <c r="BD340" s="48"/>
    </row>
    <row r="341" spans="1:56" x14ac:dyDescent="0.25">
      <c r="A341" s="48"/>
      <c r="B341" s="48"/>
      <c r="C341" s="48"/>
      <c r="D341" s="48"/>
      <c r="E341" s="48"/>
      <c r="F341" s="48"/>
      <c r="G341" s="48"/>
      <c r="H341" s="48"/>
      <c r="I341" s="48"/>
      <c r="J341" s="48"/>
      <c r="K341" s="48"/>
      <c r="L341" s="48"/>
      <c r="M341" s="48"/>
      <c r="N341" s="48"/>
      <c r="O341" s="48"/>
      <c r="P341" s="48"/>
      <c r="Q341" s="48"/>
      <c r="R341" s="48"/>
      <c r="S341" s="48"/>
      <c r="T341" s="48"/>
      <c r="U341" s="48"/>
      <c r="V341" s="48"/>
      <c r="W341" s="48"/>
      <c r="X341" s="48"/>
      <c r="Y341" s="48"/>
      <c r="Z341" s="48"/>
      <c r="AA341" s="48"/>
      <c r="AB341" s="48"/>
      <c r="AC341" s="48"/>
      <c r="AD341" s="48"/>
      <c r="AE341" s="48"/>
      <c r="AF341" s="48"/>
      <c r="AG341" s="48"/>
      <c r="AH341" s="48"/>
      <c r="AI341" s="48"/>
      <c r="AJ341" s="48"/>
      <c r="AK341" s="48"/>
      <c r="AL341" s="48"/>
      <c r="AM341" s="48"/>
      <c r="AN341" s="48"/>
      <c r="AO341" s="48"/>
      <c r="AP341" s="48"/>
      <c r="AQ341" s="48"/>
      <c r="AR341" s="48"/>
      <c r="AS341" s="48"/>
      <c r="AT341" s="48"/>
      <c r="AU341" s="48"/>
      <c r="AV341" s="48"/>
      <c r="AW341" s="48"/>
      <c r="AX341" s="48"/>
      <c r="AY341" s="48"/>
      <c r="AZ341" s="48"/>
      <c r="BA341" s="48"/>
      <c r="BB341" s="48"/>
      <c r="BC341" s="48"/>
      <c r="BD341" s="48"/>
    </row>
    <row r="342" spans="1:56" x14ac:dyDescent="0.25">
      <c r="A342" s="48"/>
      <c r="B342" s="48"/>
      <c r="C342" s="48"/>
      <c r="D342" s="48"/>
      <c r="E342" s="48"/>
      <c r="F342" s="48"/>
      <c r="G342" s="48"/>
      <c r="H342" s="48"/>
      <c r="I342" s="48"/>
      <c r="J342" s="48"/>
      <c r="K342" s="48"/>
      <c r="L342" s="48"/>
      <c r="M342" s="48"/>
      <c r="N342" s="48"/>
      <c r="O342" s="48"/>
      <c r="P342" s="48"/>
      <c r="Q342" s="48"/>
      <c r="R342" s="48"/>
      <c r="S342" s="48"/>
      <c r="T342" s="48"/>
      <c r="U342" s="48"/>
      <c r="V342" s="48"/>
      <c r="W342" s="48"/>
      <c r="X342" s="48"/>
      <c r="Y342" s="48"/>
      <c r="Z342" s="48"/>
      <c r="AA342" s="48"/>
      <c r="AB342" s="48"/>
      <c r="AC342" s="48"/>
      <c r="AD342" s="48"/>
      <c r="AE342" s="48"/>
      <c r="AF342" s="48"/>
      <c r="AG342" s="48"/>
      <c r="AH342" s="48"/>
      <c r="AI342" s="48"/>
      <c r="AJ342" s="48"/>
      <c r="AK342" s="48"/>
      <c r="AL342" s="48"/>
      <c r="AM342" s="48"/>
      <c r="AN342" s="48"/>
      <c r="AO342" s="48"/>
      <c r="AP342" s="48"/>
      <c r="AQ342" s="48"/>
      <c r="AR342" s="48"/>
      <c r="AS342" s="48"/>
      <c r="AT342" s="48"/>
      <c r="AU342" s="48"/>
      <c r="AV342" s="48"/>
      <c r="AW342" s="48"/>
      <c r="AX342" s="48"/>
      <c r="AY342" s="48"/>
      <c r="AZ342" s="48"/>
      <c r="BA342" s="48"/>
      <c r="BB342" s="48"/>
      <c r="BC342" s="48"/>
      <c r="BD342" s="48"/>
    </row>
    <row r="343" spans="1:56" x14ac:dyDescent="0.25">
      <c r="A343" s="48"/>
      <c r="B343" s="48"/>
      <c r="C343" s="48"/>
      <c r="D343" s="48"/>
      <c r="E343" s="48"/>
      <c r="F343" s="48"/>
      <c r="G343" s="48"/>
      <c r="H343" s="48"/>
      <c r="I343" s="48"/>
      <c r="J343" s="48"/>
      <c r="K343" s="48"/>
      <c r="L343" s="48"/>
      <c r="M343" s="48"/>
      <c r="N343" s="48"/>
      <c r="O343" s="48"/>
      <c r="P343" s="48"/>
      <c r="Q343" s="48"/>
      <c r="R343" s="48"/>
      <c r="S343" s="48"/>
      <c r="T343" s="48"/>
      <c r="U343" s="48"/>
      <c r="V343" s="48"/>
      <c r="W343" s="48"/>
      <c r="X343" s="48"/>
      <c r="Y343" s="48"/>
      <c r="Z343" s="48"/>
      <c r="AA343" s="48"/>
      <c r="AB343" s="48"/>
      <c r="AC343" s="48"/>
      <c r="AD343" s="48"/>
      <c r="AE343" s="48"/>
      <c r="AF343" s="48"/>
      <c r="AG343" s="48"/>
      <c r="AH343" s="48"/>
      <c r="AI343" s="48"/>
      <c r="AJ343" s="48"/>
      <c r="AK343" s="48"/>
      <c r="AL343" s="48"/>
      <c r="AM343" s="48"/>
      <c r="AN343" s="48"/>
      <c r="AO343" s="48"/>
      <c r="AP343" s="48"/>
      <c r="AQ343" s="48"/>
      <c r="AR343" s="48"/>
      <c r="AS343" s="48"/>
      <c r="AT343" s="48"/>
      <c r="AU343" s="48"/>
      <c r="AV343" s="48"/>
      <c r="AW343" s="48"/>
      <c r="AX343" s="48"/>
      <c r="AY343" s="48"/>
      <c r="AZ343" s="48"/>
      <c r="BA343" s="48"/>
      <c r="BB343" s="48"/>
      <c r="BC343" s="48"/>
      <c r="BD343" s="48"/>
    </row>
    <row r="344" spans="1:56" x14ac:dyDescent="0.25">
      <c r="A344" s="48"/>
      <c r="B344" s="48"/>
      <c r="C344" s="48"/>
      <c r="D344" s="48"/>
      <c r="E344" s="48"/>
      <c r="F344" s="48"/>
      <c r="G344" s="48"/>
      <c r="H344" s="48"/>
      <c r="I344" s="48"/>
      <c r="J344" s="48"/>
      <c r="K344" s="48"/>
      <c r="L344" s="48"/>
      <c r="M344" s="48"/>
      <c r="N344" s="48"/>
      <c r="O344" s="48"/>
      <c r="P344" s="48"/>
      <c r="Q344" s="48"/>
      <c r="R344" s="48"/>
      <c r="S344" s="48"/>
      <c r="T344" s="48"/>
      <c r="U344" s="48"/>
      <c r="V344" s="48"/>
      <c r="W344" s="48"/>
      <c r="X344" s="48"/>
      <c r="Y344" s="48"/>
      <c r="Z344" s="48"/>
      <c r="AA344" s="48"/>
      <c r="AB344" s="48"/>
      <c r="AC344" s="48"/>
      <c r="AD344" s="48"/>
      <c r="AE344" s="48"/>
      <c r="AF344" s="48"/>
      <c r="AG344" s="48"/>
      <c r="AH344" s="48"/>
      <c r="AI344" s="48"/>
      <c r="AJ344" s="48"/>
      <c r="AK344" s="48"/>
      <c r="AL344" s="48"/>
      <c r="AM344" s="48"/>
      <c r="AN344" s="48"/>
      <c r="AO344" s="48"/>
      <c r="AP344" s="48"/>
      <c r="AQ344" s="48"/>
      <c r="AR344" s="48"/>
      <c r="AS344" s="48"/>
      <c r="AT344" s="48"/>
      <c r="AU344" s="48"/>
      <c r="AV344" s="48"/>
      <c r="AW344" s="48"/>
      <c r="AX344" s="48"/>
      <c r="AY344" s="48"/>
      <c r="AZ344" s="48"/>
      <c r="BA344" s="48"/>
      <c r="BB344" s="48"/>
      <c r="BC344" s="48"/>
      <c r="BD344" s="48"/>
    </row>
    <row r="345" spans="1:56" x14ac:dyDescent="0.25">
      <c r="A345" s="48"/>
      <c r="B345" s="48"/>
      <c r="C345" s="48"/>
      <c r="D345" s="48"/>
      <c r="E345" s="48"/>
      <c r="F345" s="48"/>
      <c r="G345" s="48"/>
      <c r="H345" s="48"/>
      <c r="I345" s="48"/>
      <c r="J345" s="48"/>
      <c r="K345" s="48"/>
      <c r="L345" s="48"/>
      <c r="M345" s="48"/>
      <c r="N345" s="48"/>
      <c r="O345" s="48"/>
      <c r="P345" s="48"/>
      <c r="Q345" s="48"/>
      <c r="R345" s="48"/>
      <c r="S345" s="48"/>
      <c r="T345" s="48"/>
      <c r="U345" s="48"/>
      <c r="V345" s="48"/>
      <c r="W345" s="48"/>
      <c r="X345" s="48"/>
      <c r="Y345" s="48"/>
      <c r="Z345" s="48"/>
      <c r="AA345" s="48"/>
      <c r="AB345" s="48"/>
      <c r="AC345" s="48"/>
      <c r="AD345" s="48"/>
      <c r="AE345" s="48"/>
      <c r="AF345" s="48"/>
      <c r="AG345" s="48"/>
      <c r="AH345" s="48"/>
      <c r="AI345" s="48"/>
      <c r="AJ345" s="48"/>
      <c r="AK345" s="48"/>
      <c r="AL345" s="48"/>
      <c r="AM345" s="48"/>
      <c r="AN345" s="48"/>
      <c r="AO345" s="48"/>
      <c r="AP345" s="48"/>
      <c r="AQ345" s="48"/>
      <c r="AR345" s="48"/>
      <c r="AS345" s="48"/>
      <c r="AT345" s="48"/>
      <c r="AU345" s="48"/>
      <c r="AV345" s="48"/>
      <c r="AW345" s="48"/>
      <c r="AX345" s="48"/>
      <c r="AY345" s="48"/>
      <c r="AZ345" s="48"/>
      <c r="BA345" s="48"/>
      <c r="BB345" s="48"/>
      <c r="BC345" s="48"/>
      <c r="BD345" s="48"/>
    </row>
    <row r="346" spans="1:56" x14ac:dyDescent="0.25">
      <c r="A346" s="48"/>
      <c r="B346" s="48"/>
      <c r="C346" s="48"/>
      <c r="D346" s="48"/>
      <c r="E346" s="48"/>
      <c r="F346" s="48"/>
      <c r="G346" s="48"/>
      <c r="H346" s="48"/>
      <c r="I346" s="48"/>
      <c r="J346" s="48"/>
      <c r="K346" s="48"/>
      <c r="L346" s="48"/>
      <c r="M346" s="48"/>
      <c r="N346" s="48"/>
      <c r="O346" s="48"/>
      <c r="P346" s="48"/>
      <c r="Q346" s="48"/>
      <c r="R346" s="48"/>
      <c r="S346" s="48"/>
      <c r="T346" s="48"/>
      <c r="U346" s="48"/>
      <c r="V346" s="48"/>
      <c r="W346" s="48"/>
      <c r="X346" s="48"/>
      <c r="Y346" s="48"/>
      <c r="Z346" s="48"/>
      <c r="AA346" s="48"/>
      <c r="AB346" s="48"/>
      <c r="AC346" s="48"/>
      <c r="AD346" s="48"/>
      <c r="AE346" s="48"/>
      <c r="AF346" s="48"/>
      <c r="AG346" s="48"/>
      <c r="AH346" s="48"/>
      <c r="AI346" s="48"/>
      <c r="AJ346" s="48"/>
      <c r="AK346" s="48"/>
      <c r="AL346" s="48"/>
      <c r="AM346" s="48"/>
      <c r="AN346" s="48"/>
      <c r="AO346" s="48"/>
      <c r="AP346" s="48"/>
      <c r="AQ346" s="48"/>
      <c r="AR346" s="48"/>
      <c r="AS346" s="48"/>
      <c r="AT346" s="48"/>
      <c r="AU346" s="48"/>
      <c r="AV346" s="48"/>
      <c r="AW346" s="48"/>
      <c r="AX346" s="48"/>
      <c r="AY346" s="48"/>
      <c r="AZ346" s="48"/>
      <c r="BA346" s="48"/>
      <c r="BB346" s="48"/>
      <c r="BC346" s="48"/>
      <c r="BD346" s="48"/>
    </row>
    <row r="347" spans="1:56" x14ac:dyDescent="0.25">
      <c r="A347" s="48"/>
      <c r="B347" s="48"/>
      <c r="C347" s="48"/>
      <c r="D347" s="48"/>
      <c r="E347" s="48"/>
      <c r="F347" s="48"/>
      <c r="G347" s="48"/>
      <c r="H347" s="48"/>
      <c r="I347" s="48"/>
      <c r="J347" s="48"/>
      <c r="K347" s="48"/>
      <c r="L347" s="48"/>
      <c r="M347" s="48"/>
      <c r="N347" s="48"/>
      <c r="O347" s="48"/>
      <c r="P347" s="48"/>
      <c r="Q347" s="48"/>
      <c r="R347" s="48"/>
      <c r="S347" s="48"/>
      <c r="T347" s="48"/>
      <c r="U347" s="48"/>
      <c r="V347" s="48"/>
      <c r="W347" s="48"/>
      <c r="X347" s="48"/>
      <c r="Y347" s="48"/>
      <c r="Z347" s="48"/>
      <c r="AA347" s="48"/>
      <c r="AB347" s="48"/>
      <c r="AC347" s="48"/>
      <c r="AD347" s="48"/>
      <c r="AE347" s="48"/>
      <c r="AF347" s="48"/>
      <c r="AG347" s="48"/>
      <c r="AH347" s="48"/>
      <c r="AI347" s="48"/>
      <c r="AJ347" s="48"/>
      <c r="AK347" s="48"/>
      <c r="AL347" s="48"/>
      <c r="AM347" s="48"/>
      <c r="AN347" s="48"/>
      <c r="AO347" s="48"/>
      <c r="AP347" s="48"/>
      <c r="AQ347" s="48"/>
      <c r="AR347" s="48"/>
      <c r="AS347" s="48"/>
      <c r="AT347" s="48"/>
      <c r="AU347" s="48"/>
      <c r="AV347" s="48"/>
      <c r="AW347" s="48"/>
      <c r="AX347" s="48"/>
      <c r="AY347" s="48"/>
      <c r="AZ347" s="48"/>
      <c r="BA347" s="48"/>
      <c r="BB347" s="48"/>
      <c r="BC347" s="48"/>
      <c r="BD347" s="48"/>
    </row>
    <row r="348" spans="1:56" x14ac:dyDescent="0.25">
      <c r="A348" s="48"/>
      <c r="B348" s="48"/>
      <c r="C348" s="48"/>
      <c r="D348" s="48"/>
      <c r="E348" s="48"/>
      <c r="F348" s="48"/>
      <c r="G348" s="48"/>
      <c r="H348" s="48"/>
      <c r="I348" s="48"/>
      <c r="J348" s="48"/>
      <c r="K348" s="48"/>
      <c r="L348" s="48"/>
      <c r="M348" s="48"/>
      <c r="N348" s="48"/>
      <c r="O348" s="48"/>
      <c r="P348" s="48"/>
      <c r="Q348" s="48"/>
      <c r="R348" s="48"/>
      <c r="S348" s="48"/>
      <c r="T348" s="48"/>
      <c r="U348" s="48"/>
      <c r="V348" s="48"/>
      <c r="W348" s="48"/>
      <c r="X348" s="48"/>
      <c r="Y348" s="48"/>
      <c r="Z348" s="48"/>
      <c r="AA348" s="48"/>
      <c r="AB348" s="48"/>
      <c r="AC348" s="48"/>
      <c r="AD348" s="48"/>
      <c r="AE348" s="48"/>
      <c r="AF348" s="48"/>
      <c r="AG348" s="48"/>
      <c r="AH348" s="48"/>
      <c r="AI348" s="48"/>
      <c r="AJ348" s="48"/>
      <c r="AK348" s="48"/>
      <c r="AL348" s="48"/>
      <c r="AM348" s="48"/>
      <c r="AN348" s="48"/>
      <c r="AO348" s="48"/>
      <c r="AP348" s="48"/>
      <c r="AQ348" s="48"/>
      <c r="AR348" s="48"/>
      <c r="AS348" s="48"/>
      <c r="AT348" s="48"/>
      <c r="AU348" s="48"/>
      <c r="AV348" s="48"/>
      <c r="AW348" s="48"/>
      <c r="AX348" s="48"/>
      <c r="AY348" s="48"/>
      <c r="AZ348" s="48"/>
      <c r="BA348" s="48"/>
      <c r="BB348" s="48"/>
      <c r="BC348" s="48"/>
      <c r="BD348" s="48"/>
    </row>
    <row r="349" spans="1:56" x14ac:dyDescent="0.25">
      <c r="A349" s="48"/>
      <c r="B349" s="48"/>
      <c r="C349" s="48"/>
      <c r="D349" s="48"/>
      <c r="E349" s="48"/>
      <c r="F349" s="48"/>
      <c r="G349" s="48"/>
      <c r="H349" s="48"/>
      <c r="I349" s="48"/>
      <c r="J349" s="48"/>
      <c r="K349" s="48"/>
      <c r="L349" s="48"/>
      <c r="M349" s="48"/>
      <c r="N349" s="48"/>
      <c r="O349" s="48"/>
      <c r="P349" s="48"/>
      <c r="Q349" s="48"/>
      <c r="R349" s="48"/>
      <c r="S349" s="48"/>
      <c r="T349" s="48"/>
      <c r="U349" s="48"/>
      <c r="V349" s="48"/>
      <c r="W349" s="48"/>
      <c r="X349" s="48"/>
      <c r="Y349" s="48"/>
      <c r="Z349" s="48"/>
      <c r="AA349" s="48"/>
      <c r="AB349" s="48"/>
      <c r="AC349" s="48"/>
      <c r="AD349" s="48"/>
      <c r="AE349" s="48"/>
      <c r="AF349" s="48"/>
      <c r="AG349" s="48"/>
      <c r="AH349" s="48"/>
      <c r="AI349" s="48"/>
      <c r="AJ349" s="48"/>
      <c r="AK349" s="48"/>
      <c r="AL349" s="48"/>
      <c r="AM349" s="48"/>
      <c r="AN349" s="48"/>
      <c r="AO349" s="48"/>
      <c r="AP349" s="48"/>
      <c r="AQ349" s="48"/>
      <c r="AR349" s="48"/>
      <c r="AS349" s="48"/>
      <c r="AT349" s="48"/>
      <c r="AU349" s="48"/>
      <c r="AV349" s="48"/>
      <c r="AW349" s="48"/>
      <c r="AX349" s="48"/>
      <c r="AY349" s="48"/>
      <c r="AZ349" s="48"/>
      <c r="BA349" s="48"/>
      <c r="BB349" s="48"/>
      <c r="BC349" s="48"/>
      <c r="BD349" s="48"/>
    </row>
    <row r="350" spans="1:56" x14ac:dyDescent="0.25">
      <c r="A350" s="48"/>
      <c r="B350" s="48"/>
      <c r="C350" s="48"/>
      <c r="D350" s="48"/>
      <c r="E350" s="48"/>
      <c r="F350" s="48"/>
      <c r="G350" s="48"/>
      <c r="H350" s="48"/>
      <c r="I350" s="48"/>
      <c r="J350" s="48"/>
      <c r="K350" s="48"/>
      <c r="L350" s="48"/>
      <c r="M350" s="48"/>
      <c r="N350" s="48"/>
      <c r="O350" s="48"/>
      <c r="P350" s="48"/>
      <c r="Q350" s="48"/>
      <c r="R350" s="48"/>
      <c r="S350" s="48"/>
      <c r="T350" s="48"/>
      <c r="U350" s="48"/>
      <c r="V350" s="48"/>
      <c r="W350" s="48"/>
      <c r="X350" s="48"/>
      <c r="Y350" s="48"/>
      <c r="Z350" s="48"/>
      <c r="AA350" s="48"/>
      <c r="AB350" s="48"/>
      <c r="AC350" s="48"/>
      <c r="AD350" s="48"/>
      <c r="AE350" s="48"/>
      <c r="AF350" s="48"/>
      <c r="AG350" s="48"/>
      <c r="AH350" s="48"/>
      <c r="AI350" s="48"/>
      <c r="AJ350" s="48"/>
      <c r="AK350" s="48"/>
      <c r="AL350" s="48"/>
      <c r="AM350" s="48"/>
      <c r="AN350" s="48"/>
      <c r="AO350" s="48"/>
      <c r="AP350" s="48"/>
      <c r="AQ350" s="48"/>
      <c r="AR350" s="48"/>
      <c r="AS350" s="48"/>
      <c r="AT350" s="48"/>
      <c r="AU350" s="48"/>
      <c r="AV350" s="48"/>
      <c r="AW350" s="48"/>
      <c r="AX350" s="48"/>
      <c r="AY350" s="48"/>
      <c r="AZ350" s="48"/>
      <c r="BA350" s="48"/>
      <c r="BB350" s="48"/>
      <c r="BC350" s="48"/>
      <c r="BD350" s="48"/>
    </row>
    <row r="351" spans="1:56" x14ac:dyDescent="0.25">
      <c r="A351" s="48"/>
      <c r="B351" s="48"/>
      <c r="C351" s="48"/>
      <c r="D351" s="48"/>
      <c r="E351" s="48"/>
      <c r="F351" s="48"/>
      <c r="G351" s="48"/>
      <c r="H351" s="48"/>
      <c r="I351" s="48"/>
      <c r="J351" s="48"/>
      <c r="K351" s="48"/>
      <c r="L351" s="48"/>
      <c r="M351" s="48"/>
      <c r="N351" s="48"/>
      <c r="O351" s="48"/>
      <c r="P351" s="48"/>
      <c r="Q351" s="48"/>
      <c r="R351" s="48"/>
      <c r="S351" s="48"/>
      <c r="T351" s="48"/>
      <c r="U351" s="48"/>
      <c r="V351" s="48"/>
      <c r="W351" s="48"/>
      <c r="X351" s="48"/>
      <c r="Y351" s="48"/>
      <c r="Z351" s="48"/>
      <c r="AA351" s="48"/>
      <c r="AB351" s="48"/>
      <c r="AC351" s="48"/>
      <c r="AD351" s="48"/>
      <c r="AE351" s="48"/>
      <c r="AF351" s="48"/>
      <c r="AG351" s="48"/>
      <c r="AH351" s="48"/>
      <c r="AI351" s="48"/>
      <c r="AJ351" s="48"/>
      <c r="AK351" s="48"/>
      <c r="AL351" s="48"/>
      <c r="AM351" s="48"/>
      <c r="AN351" s="48"/>
      <c r="AO351" s="48"/>
      <c r="AP351" s="48"/>
      <c r="AQ351" s="48"/>
      <c r="AR351" s="48"/>
      <c r="AS351" s="48"/>
      <c r="AT351" s="48"/>
      <c r="AU351" s="48"/>
      <c r="AV351" s="48"/>
      <c r="AW351" s="48"/>
      <c r="AX351" s="48"/>
      <c r="AY351" s="48"/>
      <c r="AZ351" s="48"/>
      <c r="BA351" s="48"/>
      <c r="BB351" s="48"/>
      <c r="BC351" s="48"/>
      <c r="BD351" s="48"/>
    </row>
    <row r="352" spans="1:56" x14ac:dyDescent="0.25">
      <c r="A352" s="48"/>
      <c r="B352" s="48"/>
      <c r="C352" s="48"/>
      <c r="D352" s="48"/>
      <c r="E352" s="48"/>
      <c r="F352" s="48"/>
      <c r="G352" s="48"/>
      <c r="H352" s="48"/>
      <c r="I352" s="48"/>
      <c r="J352" s="48"/>
      <c r="K352" s="48"/>
      <c r="L352" s="48"/>
      <c r="M352" s="48"/>
      <c r="N352" s="48"/>
      <c r="O352" s="48"/>
      <c r="P352" s="48"/>
      <c r="Q352" s="48"/>
      <c r="R352" s="48"/>
      <c r="S352" s="48"/>
      <c r="T352" s="48"/>
      <c r="U352" s="48"/>
      <c r="V352" s="48"/>
      <c r="W352" s="48"/>
      <c r="X352" s="48"/>
      <c r="Y352" s="48"/>
      <c r="Z352" s="48"/>
      <c r="AA352" s="48"/>
      <c r="AB352" s="48"/>
      <c r="AC352" s="48"/>
      <c r="AD352" s="48"/>
      <c r="AE352" s="48"/>
      <c r="AF352" s="48"/>
      <c r="AG352" s="48"/>
      <c r="AH352" s="48"/>
      <c r="AI352" s="48"/>
      <c r="AJ352" s="48"/>
      <c r="AK352" s="48"/>
      <c r="AL352" s="48"/>
      <c r="AM352" s="48"/>
      <c r="AN352" s="48"/>
      <c r="AO352" s="48"/>
      <c r="AP352" s="48"/>
      <c r="AQ352" s="48"/>
      <c r="AR352" s="48"/>
      <c r="AS352" s="48"/>
      <c r="AT352" s="48"/>
      <c r="AU352" s="48"/>
      <c r="AV352" s="48"/>
      <c r="AW352" s="48"/>
      <c r="AX352" s="48"/>
      <c r="AY352" s="48"/>
      <c r="AZ352" s="48"/>
      <c r="BA352" s="48"/>
      <c r="BB352" s="48"/>
      <c r="BC352" s="48"/>
      <c r="BD352" s="48"/>
    </row>
    <row r="353" spans="1:56" x14ac:dyDescent="0.25">
      <c r="A353" s="48"/>
      <c r="B353" s="48"/>
      <c r="C353" s="48"/>
      <c r="D353" s="48"/>
      <c r="E353" s="48"/>
      <c r="F353" s="48"/>
      <c r="G353" s="48"/>
      <c r="H353" s="48"/>
      <c r="I353" s="48"/>
      <c r="J353" s="48"/>
      <c r="K353" s="48"/>
      <c r="L353" s="48"/>
      <c r="M353" s="48"/>
      <c r="N353" s="48"/>
      <c r="O353" s="48"/>
      <c r="P353" s="48"/>
      <c r="Q353" s="48"/>
      <c r="R353" s="48"/>
      <c r="S353" s="48"/>
      <c r="T353" s="48"/>
      <c r="U353" s="48"/>
      <c r="V353" s="48"/>
      <c r="W353" s="48"/>
      <c r="X353" s="48"/>
      <c r="Y353" s="48"/>
      <c r="Z353" s="48"/>
      <c r="AA353" s="48"/>
      <c r="AB353" s="48"/>
      <c r="AC353" s="48"/>
      <c r="AD353" s="48"/>
      <c r="AE353" s="48"/>
      <c r="AF353" s="48"/>
      <c r="AG353" s="48"/>
      <c r="AH353" s="48"/>
      <c r="AI353" s="48"/>
      <c r="AJ353" s="48"/>
      <c r="AK353" s="48"/>
      <c r="AL353" s="48"/>
      <c r="AM353" s="48"/>
      <c r="AN353" s="48"/>
      <c r="AO353" s="48"/>
      <c r="AP353" s="48"/>
      <c r="AQ353" s="48"/>
      <c r="AR353" s="48"/>
      <c r="AS353" s="48"/>
      <c r="AT353" s="48"/>
      <c r="AU353" s="48"/>
      <c r="AV353" s="48"/>
      <c r="AW353" s="48"/>
      <c r="AX353" s="48"/>
      <c r="AY353" s="48"/>
      <c r="AZ353" s="48"/>
      <c r="BA353" s="48"/>
      <c r="BB353" s="48"/>
      <c r="BC353" s="48"/>
      <c r="BD353" s="48"/>
    </row>
    <row r="354" spans="1:56" x14ac:dyDescent="0.25">
      <c r="A354" s="48"/>
      <c r="B354" s="48"/>
      <c r="C354" s="48"/>
      <c r="D354" s="48"/>
      <c r="E354" s="48"/>
      <c r="F354" s="48"/>
      <c r="G354" s="48"/>
      <c r="H354" s="48"/>
      <c r="I354" s="48"/>
      <c r="J354" s="48"/>
      <c r="K354" s="48"/>
      <c r="L354" s="48"/>
      <c r="M354" s="48"/>
      <c r="N354" s="48"/>
      <c r="O354" s="48"/>
      <c r="P354" s="48"/>
      <c r="Q354" s="48"/>
      <c r="R354" s="48"/>
      <c r="S354" s="48"/>
      <c r="T354" s="48"/>
      <c r="U354" s="48"/>
      <c r="V354" s="48"/>
      <c r="W354" s="48"/>
      <c r="X354" s="48"/>
      <c r="Y354" s="48"/>
      <c r="Z354" s="48"/>
      <c r="AA354" s="48"/>
      <c r="AB354" s="48"/>
      <c r="AC354" s="48"/>
      <c r="AD354" s="48"/>
      <c r="AE354" s="48"/>
      <c r="AF354" s="48"/>
      <c r="AG354" s="48"/>
      <c r="AH354" s="48"/>
      <c r="AI354" s="48"/>
      <c r="AJ354" s="48"/>
      <c r="AK354" s="48"/>
      <c r="AL354" s="48"/>
      <c r="AM354" s="48"/>
      <c r="AN354" s="48"/>
      <c r="AO354" s="48"/>
      <c r="AP354" s="48"/>
      <c r="AQ354" s="48"/>
      <c r="AR354" s="48"/>
      <c r="AS354" s="48"/>
      <c r="AT354" s="48"/>
      <c r="AU354" s="48"/>
      <c r="AV354" s="48"/>
      <c r="AW354" s="48"/>
      <c r="AX354" s="48"/>
      <c r="AY354" s="48"/>
      <c r="AZ354" s="48"/>
      <c r="BA354" s="48"/>
      <c r="BB354" s="48"/>
      <c r="BC354" s="48"/>
      <c r="BD354" s="48"/>
    </row>
    <row r="355" spans="1:56" x14ac:dyDescent="0.25">
      <c r="A355" s="48"/>
      <c r="B355" s="48"/>
      <c r="C355" s="48"/>
      <c r="D355" s="48"/>
      <c r="E355" s="48"/>
      <c r="F355" s="48"/>
      <c r="G355" s="48"/>
      <c r="H355" s="48"/>
      <c r="I355" s="48"/>
      <c r="J355" s="48"/>
      <c r="K355" s="48"/>
      <c r="L355" s="48"/>
      <c r="M355" s="48"/>
      <c r="N355" s="48"/>
      <c r="O355" s="48"/>
      <c r="P355" s="48"/>
      <c r="Q355" s="48"/>
      <c r="R355" s="48"/>
      <c r="S355" s="48"/>
      <c r="T355" s="48"/>
      <c r="U355" s="48"/>
      <c r="V355" s="48"/>
      <c r="W355" s="48"/>
      <c r="X355" s="48"/>
      <c r="Y355" s="48"/>
      <c r="Z355" s="48"/>
      <c r="AA355" s="48"/>
      <c r="AB355" s="48"/>
      <c r="AC355" s="48"/>
      <c r="AD355" s="48"/>
      <c r="AE355" s="48"/>
      <c r="AF355" s="48"/>
      <c r="AG355" s="48"/>
      <c r="AH355" s="48"/>
      <c r="AI355" s="48"/>
      <c r="AJ355" s="48"/>
      <c r="AK355" s="48"/>
      <c r="AL355" s="48"/>
      <c r="AM355" s="48"/>
      <c r="AN355" s="48"/>
      <c r="AO355" s="48"/>
      <c r="AP355" s="48"/>
      <c r="AQ355" s="48"/>
      <c r="AR355" s="48"/>
      <c r="AS355" s="48"/>
      <c r="AT355" s="48"/>
      <c r="AU355" s="48"/>
      <c r="AV355" s="48"/>
      <c r="AW355" s="48"/>
      <c r="AX355" s="48"/>
      <c r="AY355" s="48"/>
      <c r="AZ355" s="48"/>
      <c r="BA355" s="48"/>
      <c r="BB355" s="48"/>
      <c r="BC355" s="48"/>
      <c r="BD355" s="48"/>
    </row>
    <row r="356" spans="1:56" x14ac:dyDescent="0.25">
      <c r="A356" s="48"/>
      <c r="B356" s="48"/>
      <c r="C356" s="48"/>
      <c r="D356" s="48"/>
      <c r="E356" s="48"/>
      <c r="F356" s="48"/>
      <c r="G356" s="48"/>
      <c r="H356" s="48"/>
      <c r="I356" s="48"/>
      <c r="J356" s="48"/>
      <c r="K356" s="48"/>
      <c r="L356" s="48"/>
      <c r="M356" s="48"/>
      <c r="N356" s="48"/>
      <c r="O356" s="48"/>
      <c r="P356" s="48"/>
      <c r="Q356" s="48"/>
      <c r="R356" s="48"/>
      <c r="S356" s="48"/>
      <c r="T356" s="48"/>
      <c r="U356" s="48"/>
      <c r="V356" s="48"/>
      <c r="W356" s="48"/>
      <c r="X356" s="48"/>
      <c r="Y356" s="48"/>
      <c r="Z356" s="48"/>
      <c r="AA356" s="48"/>
      <c r="AB356" s="48"/>
      <c r="AC356" s="48"/>
      <c r="AD356" s="48"/>
      <c r="AE356" s="48"/>
      <c r="AF356" s="48"/>
      <c r="AG356" s="48"/>
      <c r="AH356" s="48"/>
      <c r="AI356" s="48"/>
      <c r="AJ356" s="48"/>
      <c r="AK356" s="48"/>
      <c r="AL356" s="48"/>
      <c r="AM356" s="48"/>
      <c r="AN356" s="48"/>
      <c r="AO356" s="48"/>
      <c r="AP356" s="48"/>
      <c r="AQ356" s="48"/>
      <c r="AR356" s="48"/>
      <c r="AS356" s="48"/>
      <c r="AT356" s="48"/>
      <c r="AU356" s="48"/>
      <c r="AV356" s="48"/>
      <c r="AW356" s="48"/>
      <c r="AX356" s="48"/>
      <c r="AY356" s="48"/>
      <c r="AZ356" s="48"/>
      <c r="BA356" s="48"/>
      <c r="BB356" s="48"/>
      <c r="BC356" s="48"/>
      <c r="BD356" s="48"/>
    </row>
    <row r="357" spans="1:56" x14ac:dyDescent="0.25">
      <c r="A357" s="48"/>
      <c r="B357" s="48"/>
      <c r="C357" s="48"/>
      <c r="D357" s="48"/>
      <c r="E357" s="48"/>
      <c r="F357" s="48"/>
      <c r="G357" s="48"/>
      <c r="H357" s="48"/>
      <c r="I357" s="48"/>
      <c r="J357" s="48"/>
      <c r="K357" s="48"/>
      <c r="L357" s="48"/>
      <c r="M357" s="48"/>
      <c r="N357" s="48"/>
      <c r="O357" s="48"/>
      <c r="P357" s="48"/>
      <c r="Q357" s="48"/>
      <c r="R357" s="48"/>
      <c r="S357" s="48"/>
      <c r="T357" s="48"/>
      <c r="U357" s="48"/>
      <c r="V357" s="48"/>
      <c r="W357" s="48"/>
      <c r="X357" s="48"/>
      <c r="Y357" s="48"/>
      <c r="Z357" s="48"/>
      <c r="AA357" s="48"/>
      <c r="AB357" s="48"/>
      <c r="AC357" s="48"/>
      <c r="AD357" s="48"/>
      <c r="AE357" s="48"/>
      <c r="AF357" s="48"/>
      <c r="AG357" s="48"/>
      <c r="AH357" s="48"/>
      <c r="AI357" s="48"/>
      <c r="AJ357" s="48"/>
      <c r="AK357" s="48"/>
      <c r="AL357" s="48"/>
      <c r="AM357" s="48"/>
      <c r="AN357" s="48"/>
      <c r="AO357" s="48"/>
      <c r="AP357" s="48"/>
      <c r="AQ357" s="48"/>
      <c r="AR357" s="48"/>
      <c r="AS357" s="48"/>
      <c r="AT357" s="48"/>
      <c r="AU357" s="48"/>
      <c r="AV357" s="48"/>
      <c r="AW357" s="48"/>
      <c r="AX357" s="48"/>
      <c r="AY357" s="48"/>
      <c r="AZ357" s="48"/>
      <c r="BA357" s="48"/>
      <c r="BB357" s="48"/>
      <c r="BC357" s="48"/>
      <c r="BD357" s="48"/>
    </row>
    <row r="358" spans="1:56" x14ac:dyDescent="0.25">
      <c r="A358" s="48"/>
      <c r="B358" s="48"/>
      <c r="C358" s="48"/>
      <c r="D358" s="48"/>
      <c r="E358" s="48"/>
      <c r="F358" s="48"/>
      <c r="G358" s="48"/>
      <c r="H358" s="48"/>
      <c r="I358" s="48"/>
      <c r="J358" s="48"/>
      <c r="K358" s="48"/>
      <c r="L358" s="48"/>
      <c r="M358" s="48"/>
      <c r="N358" s="48"/>
      <c r="O358" s="48"/>
      <c r="P358" s="48"/>
      <c r="Q358" s="48"/>
      <c r="R358" s="48"/>
      <c r="S358" s="48"/>
      <c r="T358" s="48"/>
      <c r="U358" s="48"/>
      <c r="V358" s="48"/>
      <c r="W358" s="48"/>
      <c r="X358" s="48"/>
      <c r="Y358" s="48"/>
      <c r="Z358" s="48"/>
      <c r="AA358" s="48"/>
      <c r="AB358" s="48"/>
      <c r="AC358" s="48"/>
      <c r="AD358" s="48"/>
      <c r="AE358" s="48"/>
      <c r="AF358" s="48"/>
      <c r="AG358" s="48"/>
      <c r="AH358" s="48"/>
      <c r="AI358" s="48"/>
      <c r="AJ358" s="48"/>
      <c r="AK358" s="48"/>
      <c r="AL358" s="48"/>
      <c r="AM358" s="48"/>
      <c r="AN358" s="48"/>
      <c r="AO358" s="48"/>
      <c r="AP358" s="48"/>
      <c r="AQ358" s="48"/>
      <c r="AR358" s="48"/>
      <c r="AS358" s="48"/>
      <c r="AT358" s="48"/>
      <c r="AU358" s="48"/>
      <c r="AV358" s="48"/>
      <c r="AW358" s="48"/>
      <c r="AX358" s="48"/>
      <c r="AY358" s="48"/>
      <c r="AZ358" s="48"/>
      <c r="BA358" s="48"/>
      <c r="BB358" s="48"/>
      <c r="BC358" s="48"/>
      <c r="BD358" s="48"/>
    </row>
    <row r="359" spans="1:56" x14ac:dyDescent="0.25">
      <c r="A359" s="48"/>
      <c r="B359" s="48"/>
      <c r="C359" s="48"/>
      <c r="D359" s="48"/>
      <c r="E359" s="48"/>
      <c r="F359" s="48"/>
      <c r="G359" s="48"/>
      <c r="H359" s="48"/>
      <c r="I359" s="48"/>
      <c r="J359" s="48"/>
      <c r="K359" s="48"/>
      <c r="L359" s="48"/>
      <c r="M359" s="48"/>
      <c r="N359" s="48"/>
      <c r="O359" s="48"/>
      <c r="P359" s="48"/>
      <c r="Q359" s="48"/>
      <c r="R359" s="48"/>
      <c r="S359" s="48"/>
      <c r="T359" s="48"/>
      <c r="U359" s="48"/>
      <c r="V359" s="48"/>
      <c r="W359" s="48"/>
      <c r="X359" s="48"/>
      <c r="Y359" s="48"/>
      <c r="Z359" s="48"/>
      <c r="AA359" s="48"/>
      <c r="AB359" s="48"/>
      <c r="AC359" s="48"/>
      <c r="AD359" s="48"/>
      <c r="AE359" s="48"/>
      <c r="AF359" s="48"/>
      <c r="AG359" s="48"/>
      <c r="AH359" s="48"/>
      <c r="AI359" s="48"/>
      <c r="AJ359" s="48"/>
      <c r="AK359" s="48"/>
      <c r="AL359" s="48"/>
      <c r="AM359" s="48"/>
      <c r="AN359" s="48"/>
      <c r="AO359" s="48"/>
      <c r="AP359" s="48"/>
      <c r="AQ359" s="48"/>
      <c r="AR359" s="48"/>
      <c r="AS359" s="48"/>
      <c r="AT359" s="48"/>
      <c r="AU359" s="48"/>
      <c r="AV359" s="48"/>
      <c r="AW359" s="48"/>
      <c r="AX359" s="48"/>
      <c r="AY359" s="48"/>
      <c r="AZ359" s="48"/>
      <c r="BA359" s="48"/>
      <c r="BB359" s="48"/>
      <c r="BC359" s="48"/>
      <c r="BD359" s="48"/>
    </row>
    <row r="360" spans="1:56" x14ac:dyDescent="0.25">
      <c r="A360" s="48"/>
      <c r="B360" s="48"/>
      <c r="C360" s="48"/>
      <c r="D360" s="48"/>
      <c r="E360" s="48"/>
      <c r="F360" s="48"/>
      <c r="G360" s="48"/>
      <c r="H360" s="48"/>
      <c r="I360" s="48"/>
      <c r="J360" s="48"/>
      <c r="K360" s="48"/>
      <c r="L360" s="48"/>
      <c r="M360" s="48"/>
      <c r="N360" s="48"/>
      <c r="O360" s="48"/>
      <c r="P360" s="48"/>
      <c r="Q360" s="48"/>
      <c r="R360" s="48"/>
      <c r="S360" s="48"/>
      <c r="T360" s="48"/>
      <c r="U360" s="48"/>
      <c r="V360" s="48"/>
      <c r="W360" s="48"/>
      <c r="X360" s="48"/>
      <c r="Y360" s="48"/>
      <c r="Z360" s="48"/>
      <c r="AA360" s="48"/>
      <c r="AB360" s="48"/>
      <c r="AC360" s="48"/>
      <c r="AD360" s="48"/>
      <c r="AE360" s="48"/>
      <c r="AF360" s="48"/>
      <c r="AG360" s="48"/>
      <c r="AH360" s="48"/>
      <c r="AI360" s="48"/>
      <c r="AJ360" s="48"/>
      <c r="AK360" s="48"/>
      <c r="AL360" s="48"/>
      <c r="AM360" s="48"/>
      <c r="AN360" s="48"/>
      <c r="AO360" s="48"/>
      <c r="AP360" s="48"/>
      <c r="AQ360" s="48"/>
      <c r="AR360" s="48"/>
      <c r="AS360" s="48"/>
      <c r="AT360" s="48"/>
      <c r="AU360" s="48"/>
      <c r="AV360" s="48"/>
      <c r="AW360" s="48"/>
      <c r="AX360" s="48"/>
      <c r="AY360" s="48"/>
      <c r="AZ360" s="48"/>
      <c r="BA360" s="48"/>
      <c r="BB360" s="48"/>
      <c r="BC360" s="48"/>
      <c r="BD360" s="48"/>
    </row>
    <row r="361" spans="1:56" x14ac:dyDescent="0.25">
      <c r="A361" s="48"/>
      <c r="B361" s="48"/>
      <c r="C361" s="48"/>
      <c r="D361" s="48"/>
      <c r="E361" s="48"/>
      <c r="F361" s="48"/>
      <c r="G361" s="48"/>
      <c r="H361" s="48"/>
      <c r="I361" s="48"/>
      <c r="J361" s="48"/>
      <c r="K361" s="48"/>
      <c r="L361" s="48"/>
      <c r="M361" s="48"/>
      <c r="N361" s="48"/>
      <c r="O361" s="48"/>
      <c r="P361" s="48"/>
      <c r="Q361" s="48"/>
      <c r="R361" s="48"/>
      <c r="S361" s="48"/>
      <c r="T361" s="48"/>
      <c r="U361" s="48"/>
      <c r="V361" s="48"/>
      <c r="W361" s="48"/>
      <c r="X361" s="48"/>
      <c r="Y361" s="48"/>
      <c r="Z361" s="48"/>
      <c r="AA361" s="48"/>
      <c r="AB361" s="48"/>
      <c r="AC361" s="48"/>
      <c r="AD361" s="48"/>
      <c r="AE361" s="48"/>
      <c r="AF361" s="48"/>
      <c r="AG361" s="48"/>
      <c r="AH361" s="48"/>
      <c r="AI361" s="48"/>
      <c r="AJ361" s="48"/>
      <c r="AK361" s="48"/>
      <c r="AL361" s="48"/>
      <c r="AM361" s="48"/>
      <c r="AN361" s="48"/>
      <c r="AO361" s="48"/>
      <c r="AP361" s="48"/>
      <c r="AQ361" s="48"/>
      <c r="AR361" s="48"/>
      <c r="AS361" s="48"/>
      <c r="AT361" s="48"/>
      <c r="AU361" s="48"/>
      <c r="AV361" s="48"/>
      <c r="AW361" s="48"/>
      <c r="AX361" s="48"/>
      <c r="AY361" s="48"/>
      <c r="AZ361" s="48"/>
      <c r="BA361" s="48"/>
      <c r="BB361" s="48"/>
      <c r="BC361" s="48"/>
      <c r="BD361" s="48"/>
    </row>
    <row r="362" spans="1:56" x14ac:dyDescent="0.25">
      <c r="A362" s="48"/>
      <c r="B362" s="48"/>
      <c r="C362" s="48"/>
      <c r="D362" s="48"/>
      <c r="E362" s="48"/>
      <c r="F362" s="48"/>
      <c r="G362" s="48"/>
      <c r="H362" s="48"/>
      <c r="I362" s="48"/>
      <c r="J362" s="48"/>
      <c r="K362" s="48"/>
      <c r="L362" s="48"/>
      <c r="M362" s="48"/>
      <c r="N362" s="48"/>
      <c r="O362" s="48"/>
      <c r="P362" s="48"/>
      <c r="Q362" s="48"/>
      <c r="R362" s="48"/>
      <c r="S362" s="48"/>
      <c r="T362" s="48"/>
      <c r="U362" s="48"/>
      <c r="V362" s="48"/>
      <c r="W362" s="48"/>
      <c r="X362" s="48"/>
      <c r="Y362" s="48"/>
      <c r="Z362" s="48"/>
      <c r="AA362" s="48"/>
      <c r="AB362" s="48"/>
      <c r="AC362" s="48"/>
      <c r="AD362" s="48"/>
      <c r="AE362" s="48"/>
      <c r="AF362" s="48"/>
      <c r="AG362" s="48"/>
      <c r="AH362" s="48"/>
      <c r="AI362" s="48"/>
      <c r="AJ362" s="48"/>
      <c r="AK362" s="48"/>
      <c r="AL362" s="48"/>
      <c r="AM362" s="48"/>
      <c r="AN362" s="48"/>
      <c r="AO362" s="48"/>
      <c r="AP362" s="48"/>
      <c r="AQ362" s="48"/>
      <c r="AR362" s="48"/>
      <c r="AS362" s="48"/>
      <c r="AT362" s="48"/>
      <c r="AU362" s="48"/>
      <c r="AV362" s="48"/>
      <c r="AW362" s="48"/>
      <c r="AX362" s="48"/>
      <c r="AY362" s="48"/>
      <c r="AZ362" s="48"/>
      <c r="BA362" s="48"/>
      <c r="BB362" s="48"/>
      <c r="BC362" s="48"/>
      <c r="BD362" s="48"/>
    </row>
    <row r="363" spans="1:56" x14ac:dyDescent="0.25">
      <c r="A363" s="48"/>
      <c r="B363" s="48"/>
      <c r="C363" s="48"/>
      <c r="D363" s="48"/>
      <c r="E363" s="48"/>
      <c r="F363" s="48"/>
      <c r="G363" s="48"/>
      <c r="H363" s="48"/>
      <c r="I363" s="48"/>
      <c r="J363" s="48"/>
      <c r="K363" s="48"/>
      <c r="L363" s="48"/>
      <c r="M363" s="48"/>
      <c r="N363" s="48"/>
      <c r="O363" s="48"/>
      <c r="P363" s="48"/>
      <c r="Q363" s="48"/>
      <c r="R363" s="48"/>
      <c r="S363" s="48"/>
      <c r="T363" s="48"/>
      <c r="U363" s="48"/>
      <c r="V363" s="48"/>
      <c r="W363" s="48"/>
      <c r="X363" s="48"/>
      <c r="Y363" s="48"/>
      <c r="Z363" s="48"/>
      <c r="AA363" s="48"/>
      <c r="AB363" s="48"/>
      <c r="AC363" s="48"/>
      <c r="AD363" s="48"/>
      <c r="AE363" s="48"/>
      <c r="AF363" s="48"/>
      <c r="AG363" s="48"/>
      <c r="AH363" s="48"/>
      <c r="AI363" s="48"/>
      <c r="AJ363" s="48"/>
      <c r="AK363" s="48"/>
      <c r="AL363" s="48"/>
      <c r="AM363" s="48"/>
      <c r="AN363" s="48"/>
      <c r="AO363" s="48"/>
      <c r="AP363" s="48"/>
      <c r="AQ363" s="48"/>
      <c r="AR363" s="48"/>
      <c r="AS363" s="48"/>
      <c r="AT363" s="48"/>
      <c r="AU363" s="48"/>
      <c r="AV363" s="48"/>
      <c r="AW363" s="48"/>
      <c r="AX363" s="48"/>
      <c r="AY363" s="48"/>
      <c r="AZ363" s="48"/>
      <c r="BA363" s="48"/>
      <c r="BB363" s="48"/>
      <c r="BC363" s="48"/>
      <c r="BD363" s="48"/>
    </row>
    <row r="364" spans="1:56" x14ac:dyDescent="0.25">
      <c r="A364" s="48"/>
      <c r="B364" s="48"/>
      <c r="C364" s="48"/>
      <c r="D364" s="48"/>
      <c r="E364" s="48"/>
      <c r="F364" s="48"/>
      <c r="G364" s="48"/>
      <c r="H364" s="48"/>
      <c r="I364" s="48"/>
      <c r="J364" s="48"/>
      <c r="K364" s="48"/>
      <c r="L364" s="48"/>
      <c r="M364" s="48"/>
      <c r="N364" s="48"/>
      <c r="O364" s="48"/>
      <c r="P364" s="48"/>
      <c r="Q364" s="48"/>
      <c r="R364" s="48"/>
      <c r="S364" s="48"/>
      <c r="T364" s="48"/>
      <c r="U364" s="48"/>
      <c r="V364" s="48"/>
      <c r="W364" s="48"/>
      <c r="X364" s="48"/>
      <c r="Y364" s="48"/>
      <c r="Z364" s="48"/>
      <c r="AA364" s="48"/>
      <c r="AB364" s="48"/>
      <c r="AC364" s="48"/>
      <c r="AD364" s="48"/>
      <c r="AE364" s="48"/>
      <c r="AF364" s="48"/>
      <c r="AG364" s="48"/>
      <c r="AH364" s="48"/>
      <c r="AI364" s="48"/>
      <c r="AJ364" s="48"/>
      <c r="AK364" s="48"/>
      <c r="AL364" s="48"/>
      <c r="AM364" s="48"/>
      <c r="AN364" s="48"/>
      <c r="AO364" s="48"/>
      <c r="AP364" s="48"/>
      <c r="AQ364" s="48"/>
      <c r="AR364" s="48"/>
      <c r="AS364" s="48"/>
      <c r="AT364" s="48"/>
      <c r="AU364" s="48"/>
      <c r="AV364" s="48"/>
      <c r="AW364" s="48"/>
      <c r="AX364" s="48"/>
      <c r="AY364" s="48"/>
      <c r="AZ364" s="48"/>
      <c r="BA364" s="48"/>
      <c r="BB364" s="48"/>
      <c r="BC364" s="48"/>
      <c r="BD364" s="48"/>
    </row>
    <row r="365" spans="1:56" x14ac:dyDescent="0.25">
      <c r="A365" s="48"/>
      <c r="B365" s="48"/>
      <c r="C365" s="48"/>
      <c r="D365" s="48"/>
      <c r="E365" s="48"/>
      <c r="F365" s="48"/>
      <c r="G365" s="48"/>
      <c r="H365" s="48"/>
      <c r="I365" s="48"/>
      <c r="J365" s="48"/>
      <c r="K365" s="48"/>
      <c r="L365" s="48"/>
      <c r="M365" s="48"/>
      <c r="N365" s="48"/>
      <c r="O365" s="48"/>
      <c r="P365" s="48"/>
      <c r="Q365" s="48"/>
      <c r="R365" s="48"/>
      <c r="S365" s="48"/>
      <c r="T365" s="48"/>
      <c r="U365" s="48"/>
      <c r="V365" s="48"/>
      <c r="W365" s="48"/>
      <c r="X365" s="48"/>
      <c r="Y365" s="48"/>
      <c r="Z365" s="48"/>
      <c r="AA365" s="48"/>
      <c r="AB365" s="48"/>
      <c r="AC365" s="48"/>
      <c r="AD365" s="48"/>
      <c r="AE365" s="48"/>
      <c r="AF365" s="48"/>
      <c r="AG365" s="48"/>
      <c r="AH365" s="48"/>
      <c r="AI365" s="48"/>
      <c r="AJ365" s="48"/>
      <c r="AK365" s="48"/>
      <c r="AL365" s="48"/>
      <c r="AM365" s="48"/>
      <c r="AN365" s="48"/>
      <c r="AO365" s="48"/>
      <c r="AP365" s="48"/>
      <c r="AQ365" s="48"/>
      <c r="AR365" s="48"/>
      <c r="AS365" s="48"/>
      <c r="AT365" s="48"/>
      <c r="AU365" s="48"/>
      <c r="AV365" s="48"/>
      <c r="AW365" s="48"/>
      <c r="AX365" s="48"/>
      <c r="AY365" s="48"/>
      <c r="AZ365" s="48"/>
      <c r="BA365" s="48"/>
      <c r="BB365" s="48"/>
      <c r="BC365" s="48"/>
      <c r="BD365" s="48"/>
    </row>
    <row r="366" spans="1:56" x14ac:dyDescent="0.25">
      <c r="A366" s="48"/>
      <c r="B366" s="48"/>
      <c r="C366" s="48"/>
      <c r="D366" s="48"/>
      <c r="E366" s="48"/>
      <c r="F366" s="48"/>
      <c r="G366" s="48"/>
      <c r="H366" s="48"/>
      <c r="I366" s="48"/>
      <c r="J366" s="48"/>
      <c r="K366" s="48"/>
      <c r="L366" s="48"/>
      <c r="M366" s="48"/>
      <c r="N366" s="48"/>
      <c r="O366" s="48"/>
      <c r="P366" s="48"/>
      <c r="Q366" s="48"/>
      <c r="R366" s="48"/>
      <c r="S366" s="48"/>
      <c r="T366" s="48"/>
      <c r="U366" s="48"/>
      <c r="V366" s="48"/>
      <c r="W366" s="48"/>
      <c r="X366" s="48"/>
      <c r="Y366" s="48"/>
      <c r="Z366" s="48"/>
      <c r="AA366" s="48"/>
      <c r="AB366" s="48"/>
      <c r="AC366" s="48"/>
      <c r="AD366" s="48"/>
      <c r="AE366" s="48"/>
      <c r="AF366" s="48"/>
      <c r="AG366" s="48"/>
      <c r="AH366" s="48"/>
      <c r="AI366" s="48"/>
      <c r="AJ366" s="48"/>
      <c r="AK366" s="48"/>
      <c r="AL366" s="48"/>
      <c r="AM366" s="48"/>
      <c r="AN366" s="48"/>
      <c r="AO366" s="48"/>
      <c r="AP366" s="48"/>
      <c r="AQ366" s="48"/>
      <c r="AR366" s="48"/>
      <c r="AS366" s="48"/>
      <c r="AT366" s="48"/>
      <c r="AU366" s="48"/>
      <c r="AV366" s="48"/>
      <c r="AW366" s="48"/>
      <c r="AX366" s="48"/>
      <c r="AY366" s="48"/>
      <c r="AZ366" s="48"/>
      <c r="BA366" s="48"/>
      <c r="BB366" s="48"/>
      <c r="BC366" s="48"/>
      <c r="BD366" s="48"/>
    </row>
    <row r="367" spans="1:56" x14ac:dyDescent="0.25">
      <c r="A367" s="48"/>
      <c r="B367" s="48"/>
      <c r="C367" s="48"/>
      <c r="D367" s="48"/>
      <c r="E367" s="48"/>
      <c r="F367" s="48"/>
      <c r="G367" s="48"/>
      <c r="H367" s="48"/>
      <c r="I367" s="48"/>
      <c r="J367" s="48"/>
      <c r="K367" s="48"/>
      <c r="L367" s="48"/>
      <c r="M367" s="48"/>
      <c r="N367" s="48"/>
      <c r="O367" s="48"/>
      <c r="P367" s="48"/>
      <c r="Q367" s="48"/>
      <c r="R367" s="48"/>
      <c r="S367" s="48"/>
      <c r="T367" s="48"/>
      <c r="U367" s="48"/>
      <c r="V367" s="48"/>
      <c r="W367" s="48"/>
      <c r="X367" s="48"/>
      <c r="Y367" s="48"/>
      <c r="Z367" s="48"/>
      <c r="AA367" s="48"/>
      <c r="AB367" s="48"/>
      <c r="AC367" s="48"/>
      <c r="AD367" s="48"/>
      <c r="AE367" s="48"/>
      <c r="AF367" s="48"/>
      <c r="AG367" s="48"/>
      <c r="AH367" s="48"/>
      <c r="AI367" s="48"/>
      <c r="AJ367" s="48"/>
      <c r="AK367" s="48"/>
      <c r="AL367" s="48"/>
      <c r="AM367" s="48"/>
      <c r="AN367" s="48"/>
      <c r="AO367" s="48"/>
      <c r="AP367" s="48"/>
      <c r="AQ367" s="48"/>
      <c r="AR367" s="48"/>
      <c r="AS367" s="48"/>
      <c r="AT367" s="48"/>
      <c r="AU367" s="48"/>
      <c r="AV367" s="48"/>
      <c r="AW367" s="48"/>
      <c r="AX367" s="48"/>
      <c r="AY367" s="48"/>
      <c r="AZ367" s="48"/>
      <c r="BA367" s="48"/>
      <c r="BB367" s="48"/>
      <c r="BC367" s="48"/>
      <c r="BD367" s="48"/>
    </row>
    <row r="368" spans="1:56" x14ac:dyDescent="0.25">
      <c r="A368" s="48"/>
      <c r="B368" s="48"/>
      <c r="C368" s="48"/>
      <c r="D368" s="48"/>
      <c r="E368" s="48"/>
      <c r="F368" s="48"/>
      <c r="G368" s="48"/>
      <c r="H368" s="48"/>
      <c r="I368" s="48"/>
      <c r="J368" s="48"/>
      <c r="K368" s="48"/>
      <c r="L368" s="48"/>
      <c r="M368" s="48"/>
      <c r="N368" s="48"/>
      <c r="O368" s="48"/>
      <c r="P368" s="48"/>
      <c r="Q368" s="48"/>
      <c r="R368" s="48"/>
      <c r="S368" s="48"/>
      <c r="T368" s="48"/>
      <c r="U368" s="48"/>
      <c r="V368" s="48"/>
      <c r="W368" s="48"/>
      <c r="X368" s="48"/>
      <c r="Y368" s="48"/>
      <c r="Z368" s="48"/>
      <c r="AA368" s="48"/>
      <c r="AB368" s="48"/>
      <c r="AC368" s="48"/>
      <c r="AD368" s="48"/>
      <c r="AE368" s="48"/>
      <c r="AF368" s="48"/>
      <c r="AG368" s="48"/>
      <c r="AH368" s="48"/>
      <c r="AI368" s="48"/>
      <c r="AJ368" s="48"/>
      <c r="AK368" s="48"/>
      <c r="AL368" s="48"/>
      <c r="AM368" s="48"/>
      <c r="AN368" s="48"/>
      <c r="AO368" s="48"/>
      <c r="AP368" s="48"/>
      <c r="AQ368" s="48"/>
      <c r="AR368" s="48"/>
      <c r="AS368" s="48"/>
      <c r="AT368" s="48"/>
      <c r="AU368" s="48"/>
      <c r="AV368" s="48"/>
      <c r="AW368" s="48"/>
      <c r="AX368" s="48"/>
      <c r="AY368" s="48"/>
      <c r="AZ368" s="48"/>
      <c r="BA368" s="48"/>
      <c r="BB368" s="48"/>
      <c r="BC368" s="48"/>
      <c r="BD368" s="48"/>
    </row>
    <row r="369" spans="1:56" x14ac:dyDescent="0.25">
      <c r="A369" s="48"/>
      <c r="B369" s="48"/>
      <c r="C369" s="48"/>
      <c r="D369" s="48"/>
      <c r="E369" s="48"/>
      <c r="F369" s="48"/>
      <c r="G369" s="48"/>
      <c r="H369" s="48"/>
      <c r="I369" s="48"/>
      <c r="J369" s="48"/>
      <c r="K369" s="48"/>
      <c r="L369" s="48"/>
      <c r="M369" s="48"/>
      <c r="N369" s="48"/>
      <c r="O369" s="48"/>
      <c r="P369" s="48"/>
      <c r="Q369" s="48"/>
      <c r="R369" s="48"/>
      <c r="S369" s="48"/>
      <c r="T369" s="48"/>
      <c r="U369" s="48"/>
      <c r="V369" s="48"/>
      <c r="W369" s="48"/>
      <c r="X369" s="48"/>
      <c r="Y369" s="48"/>
      <c r="Z369" s="48"/>
      <c r="AA369" s="48"/>
      <c r="AB369" s="48"/>
      <c r="AC369" s="48"/>
      <c r="AD369" s="48"/>
      <c r="AE369" s="48"/>
      <c r="AF369" s="48"/>
      <c r="AG369" s="48"/>
      <c r="AH369" s="48"/>
      <c r="AI369" s="48"/>
      <c r="AJ369" s="48"/>
      <c r="AK369" s="48"/>
      <c r="AL369" s="48"/>
      <c r="AM369" s="48"/>
      <c r="AN369" s="48"/>
      <c r="AO369" s="48"/>
      <c r="AP369" s="48"/>
      <c r="AQ369" s="48"/>
      <c r="AR369" s="48"/>
      <c r="AS369" s="48"/>
      <c r="AT369" s="48"/>
      <c r="AU369" s="48"/>
      <c r="AV369" s="48"/>
      <c r="AW369" s="48"/>
      <c r="AX369" s="48"/>
      <c r="AY369" s="48"/>
      <c r="AZ369" s="48"/>
      <c r="BA369" s="48"/>
      <c r="BB369" s="48"/>
      <c r="BC369" s="48"/>
      <c r="BD369" s="48"/>
    </row>
    <row r="370" spans="1:56" x14ac:dyDescent="0.25">
      <c r="A370" s="48"/>
      <c r="B370" s="48"/>
      <c r="C370" s="48"/>
      <c r="D370" s="48"/>
      <c r="E370" s="48"/>
      <c r="F370" s="48"/>
      <c r="G370" s="48"/>
      <c r="H370" s="48"/>
      <c r="I370" s="48"/>
      <c r="J370" s="48"/>
      <c r="K370" s="48"/>
      <c r="L370" s="48"/>
      <c r="M370" s="48"/>
      <c r="N370" s="48"/>
      <c r="O370" s="48"/>
      <c r="P370" s="48"/>
      <c r="Q370" s="48"/>
      <c r="R370" s="48"/>
      <c r="S370" s="48"/>
      <c r="T370" s="48"/>
      <c r="U370" s="48"/>
      <c r="V370" s="48"/>
      <c r="W370" s="48"/>
      <c r="X370" s="48"/>
      <c r="Y370" s="48"/>
      <c r="Z370" s="48"/>
      <c r="AA370" s="48"/>
      <c r="AB370" s="48"/>
      <c r="AC370" s="48"/>
      <c r="AD370" s="48"/>
      <c r="AE370" s="48"/>
      <c r="AF370" s="48"/>
      <c r="AG370" s="48"/>
      <c r="AH370" s="48"/>
      <c r="AI370" s="48"/>
      <c r="AJ370" s="48"/>
      <c r="AK370" s="48"/>
      <c r="AL370" s="48"/>
      <c r="AM370" s="48"/>
      <c r="AN370" s="48"/>
      <c r="AO370" s="48"/>
      <c r="AP370" s="48"/>
      <c r="AQ370" s="48"/>
      <c r="AR370" s="48"/>
      <c r="AS370" s="48"/>
      <c r="AT370" s="48"/>
      <c r="AU370" s="48"/>
      <c r="AV370" s="48"/>
      <c r="AW370" s="48"/>
      <c r="AX370" s="48"/>
      <c r="AY370" s="48"/>
      <c r="AZ370" s="48"/>
      <c r="BA370" s="48"/>
      <c r="BB370" s="48"/>
      <c r="BC370" s="48"/>
      <c r="BD370" s="48"/>
    </row>
    <row r="371" spans="1:56" x14ac:dyDescent="0.25">
      <c r="A371" s="48"/>
      <c r="B371" s="48"/>
      <c r="C371" s="48"/>
      <c r="D371" s="48"/>
      <c r="E371" s="48"/>
      <c r="F371" s="48"/>
      <c r="G371" s="48"/>
      <c r="H371" s="48"/>
      <c r="I371" s="48"/>
      <c r="J371" s="48"/>
      <c r="K371" s="48"/>
      <c r="L371" s="48"/>
      <c r="M371" s="48"/>
      <c r="N371" s="48"/>
      <c r="O371" s="48"/>
      <c r="P371" s="48"/>
      <c r="Q371" s="48"/>
      <c r="R371" s="48"/>
      <c r="S371" s="48"/>
      <c r="T371" s="48"/>
      <c r="U371" s="48"/>
      <c r="V371" s="48"/>
      <c r="W371" s="48"/>
      <c r="X371" s="48"/>
      <c r="Y371" s="48"/>
      <c r="Z371" s="48"/>
      <c r="AA371" s="48"/>
      <c r="AB371" s="48"/>
      <c r="AC371" s="48"/>
      <c r="AD371" s="48"/>
      <c r="AE371" s="48"/>
      <c r="AF371" s="48"/>
      <c r="AG371" s="48"/>
      <c r="AH371" s="48"/>
      <c r="AI371" s="48"/>
      <c r="AJ371" s="48"/>
      <c r="AK371" s="48"/>
      <c r="AL371" s="48"/>
      <c r="AM371" s="48"/>
      <c r="AN371" s="48"/>
      <c r="AO371" s="48"/>
      <c r="AP371" s="48"/>
      <c r="AQ371" s="48"/>
      <c r="AR371" s="48"/>
      <c r="AS371" s="48"/>
      <c r="AT371" s="48"/>
      <c r="AU371" s="48"/>
      <c r="AV371" s="48"/>
      <c r="AW371" s="48"/>
      <c r="AX371" s="48"/>
      <c r="AY371" s="48"/>
      <c r="AZ371" s="48"/>
      <c r="BA371" s="48"/>
      <c r="BB371" s="48"/>
      <c r="BC371" s="48"/>
      <c r="BD371" s="48"/>
    </row>
    <row r="372" spans="1:56" x14ac:dyDescent="0.25">
      <c r="A372" s="48"/>
      <c r="B372" s="48"/>
      <c r="C372" s="48"/>
      <c r="D372" s="48"/>
      <c r="E372" s="48"/>
      <c r="F372" s="48"/>
      <c r="G372" s="48"/>
      <c r="H372" s="48"/>
      <c r="I372" s="48"/>
      <c r="J372" s="48"/>
      <c r="K372" s="48"/>
      <c r="L372" s="48"/>
      <c r="M372" s="48"/>
      <c r="N372" s="48"/>
      <c r="O372" s="48"/>
      <c r="P372" s="48"/>
      <c r="Q372" s="48"/>
      <c r="R372" s="48"/>
      <c r="S372" s="48"/>
      <c r="T372" s="48"/>
      <c r="U372" s="48"/>
      <c r="V372" s="48"/>
      <c r="W372" s="48"/>
      <c r="X372" s="48"/>
      <c r="Y372" s="48"/>
      <c r="Z372" s="48"/>
      <c r="AA372" s="48"/>
      <c r="AB372" s="48"/>
      <c r="AC372" s="48"/>
      <c r="AD372" s="48"/>
      <c r="AE372" s="48"/>
      <c r="AF372" s="48"/>
      <c r="AG372" s="48"/>
      <c r="AH372" s="48"/>
      <c r="AI372" s="48"/>
      <c r="AJ372" s="48"/>
      <c r="AK372" s="48"/>
      <c r="AL372" s="48"/>
      <c r="AM372" s="48"/>
      <c r="AN372" s="48"/>
      <c r="AO372" s="48"/>
      <c r="AP372" s="48"/>
      <c r="AQ372" s="48"/>
      <c r="AR372" s="48"/>
      <c r="AS372" s="48"/>
      <c r="AT372" s="48"/>
      <c r="AU372" s="48"/>
      <c r="AV372" s="48"/>
      <c r="AW372" s="48"/>
      <c r="AX372" s="48"/>
      <c r="AY372" s="48"/>
      <c r="AZ372" s="48"/>
      <c r="BA372" s="48"/>
      <c r="BB372" s="48"/>
      <c r="BC372" s="48"/>
      <c r="BD372" s="48"/>
    </row>
    <row r="373" spans="1:56" x14ac:dyDescent="0.25">
      <c r="A373" s="48"/>
      <c r="B373" s="48"/>
      <c r="C373" s="48"/>
      <c r="D373" s="48"/>
      <c r="E373" s="48"/>
      <c r="F373" s="48"/>
      <c r="G373" s="48"/>
      <c r="H373" s="48"/>
      <c r="I373" s="48"/>
      <c r="J373" s="48"/>
      <c r="K373" s="48"/>
      <c r="L373" s="48"/>
      <c r="M373" s="48"/>
      <c r="N373" s="48"/>
      <c r="O373" s="48"/>
      <c r="P373" s="48"/>
      <c r="Q373" s="48"/>
      <c r="R373" s="48"/>
      <c r="S373" s="48"/>
      <c r="T373" s="48"/>
      <c r="U373" s="48"/>
      <c r="V373" s="48"/>
      <c r="W373" s="48"/>
      <c r="X373" s="48"/>
      <c r="Y373" s="48"/>
      <c r="Z373" s="48"/>
      <c r="AA373" s="48"/>
      <c r="AB373" s="48"/>
      <c r="AC373" s="48"/>
      <c r="AD373" s="48"/>
      <c r="AE373" s="48"/>
      <c r="AF373" s="48"/>
      <c r="AG373" s="48"/>
      <c r="AH373" s="48"/>
      <c r="AI373" s="48"/>
      <c r="AJ373" s="48"/>
      <c r="AK373" s="48"/>
      <c r="AL373" s="48"/>
      <c r="AM373" s="48"/>
      <c r="AN373" s="48"/>
      <c r="AO373" s="48"/>
      <c r="AP373" s="48"/>
      <c r="AQ373" s="48"/>
      <c r="AR373" s="48"/>
      <c r="AS373" s="48"/>
      <c r="AT373" s="48"/>
      <c r="AU373" s="48"/>
      <c r="AV373" s="48"/>
      <c r="AW373" s="48"/>
      <c r="AX373" s="48"/>
      <c r="AY373" s="48"/>
      <c r="AZ373" s="48"/>
      <c r="BA373" s="48"/>
      <c r="BB373" s="48"/>
      <c r="BC373" s="48"/>
      <c r="BD373" s="48"/>
    </row>
    <row r="374" spans="1:56" x14ac:dyDescent="0.25">
      <c r="A374" s="48"/>
      <c r="B374" s="48"/>
      <c r="C374" s="48"/>
      <c r="D374" s="48"/>
      <c r="E374" s="48"/>
      <c r="F374" s="48"/>
      <c r="G374" s="48"/>
      <c r="H374" s="48"/>
      <c r="I374" s="48"/>
      <c r="J374" s="48"/>
      <c r="K374" s="48"/>
      <c r="L374" s="48"/>
      <c r="M374" s="48"/>
      <c r="N374" s="48"/>
      <c r="O374" s="48"/>
      <c r="P374" s="48"/>
      <c r="Q374" s="48"/>
      <c r="R374" s="48"/>
      <c r="S374" s="48"/>
      <c r="T374" s="48"/>
      <c r="U374" s="48"/>
      <c r="V374" s="48"/>
      <c r="W374" s="48"/>
      <c r="X374" s="48"/>
      <c r="Y374" s="48"/>
      <c r="Z374" s="48"/>
      <c r="AA374" s="48"/>
      <c r="AB374" s="48"/>
      <c r="AC374" s="48"/>
      <c r="AD374" s="48"/>
      <c r="AE374" s="48"/>
      <c r="AF374" s="48"/>
      <c r="AG374" s="48"/>
      <c r="AH374" s="48"/>
      <c r="AI374" s="48"/>
      <c r="AJ374" s="48"/>
      <c r="AK374" s="48"/>
      <c r="AL374" s="48"/>
      <c r="AM374" s="48"/>
      <c r="AN374" s="48"/>
      <c r="AO374" s="48"/>
      <c r="AP374" s="48"/>
      <c r="AQ374" s="48"/>
      <c r="AR374" s="48"/>
      <c r="AS374" s="48"/>
      <c r="AT374" s="48"/>
      <c r="AU374" s="48"/>
      <c r="AV374" s="48"/>
      <c r="AW374" s="48"/>
      <c r="AX374" s="48"/>
      <c r="AY374" s="48"/>
      <c r="AZ374" s="48"/>
      <c r="BA374" s="48"/>
      <c r="BB374" s="48"/>
      <c r="BC374" s="48"/>
      <c r="BD374" s="48"/>
    </row>
    <row r="375" spans="1:56" x14ac:dyDescent="0.25">
      <c r="A375" s="48"/>
      <c r="B375" s="48"/>
      <c r="C375" s="48"/>
      <c r="D375" s="48"/>
      <c r="E375" s="48"/>
      <c r="F375" s="48"/>
      <c r="G375" s="48"/>
      <c r="H375" s="48"/>
      <c r="I375" s="48"/>
      <c r="J375" s="48"/>
      <c r="K375" s="48"/>
      <c r="L375" s="48"/>
      <c r="M375" s="48"/>
      <c r="N375" s="48"/>
      <c r="O375" s="48"/>
      <c r="P375" s="48"/>
      <c r="Q375" s="48"/>
      <c r="R375" s="48"/>
      <c r="S375" s="48"/>
      <c r="T375" s="48"/>
      <c r="U375" s="48"/>
      <c r="V375" s="48"/>
      <c r="W375" s="48"/>
      <c r="X375" s="48"/>
      <c r="Y375" s="48"/>
      <c r="Z375" s="48"/>
      <c r="AA375" s="48"/>
      <c r="AB375" s="48"/>
      <c r="AC375" s="48"/>
      <c r="AD375" s="48"/>
      <c r="AE375" s="48"/>
      <c r="AF375" s="48"/>
      <c r="AG375" s="48"/>
      <c r="AH375" s="48"/>
      <c r="AI375" s="48"/>
      <c r="AJ375" s="48"/>
      <c r="AK375" s="48"/>
      <c r="AL375" s="48"/>
      <c r="AM375" s="48"/>
      <c r="AN375" s="48"/>
      <c r="AO375" s="48"/>
      <c r="AP375" s="48"/>
      <c r="AQ375" s="48"/>
      <c r="AR375" s="48"/>
      <c r="AS375" s="48"/>
      <c r="AT375" s="48"/>
      <c r="AU375" s="48"/>
      <c r="AV375" s="48"/>
      <c r="AW375" s="48"/>
      <c r="AX375" s="48"/>
      <c r="AY375" s="48"/>
      <c r="AZ375" s="48"/>
      <c r="BA375" s="48"/>
      <c r="BB375" s="48"/>
      <c r="BC375" s="48"/>
      <c r="BD375" s="48"/>
    </row>
    <row r="376" spans="1:56" x14ac:dyDescent="0.25">
      <c r="A376" s="48"/>
      <c r="B376" s="48"/>
      <c r="C376" s="48"/>
      <c r="D376" s="48"/>
      <c r="E376" s="48"/>
      <c r="F376" s="48"/>
      <c r="G376" s="48"/>
      <c r="H376" s="48"/>
      <c r="I376" s="48"/>
      <c r="J376" s="48"/>
      <c r="K376" s="48"/>
      <c r="L376" s="48"/>
      <c r="M376" s="48"/>
      <c r="N376" s="48"/>
      <c r="O376" s="48"/>
      <c r="P376" s="48"/>
      <c r="Q376" s="48"/>
      <c r="R376" s="48"/>
      <c r="S376" s="48"/>
      <c r="T376" s="48"/>
      <c r="U376" s="48"/>
      <c r="V376" s="48"/>
      <c r="W376" s="48"/>
      <c r="X376" s="48"/>
      <c r="Y376" s="48"/>
      <c r="Z376" s="48"/>
      <c r="AA376" s="48"/>
      <c r="AB376" s="48"/>
      <c r="AC376" s="48"/>
      <c r="AD376" s="48"/>
      <c r="AE376" s="48"/>
      <c r="AF376" s="48"/>
      <c r="AG376" s="48"/>
      <c r="AH376" s="48"/>
      <c r="AI376" s="48"/>
      <c r="AJ376" s="48"/>
      <c r="AK376" s="48"/>
      <c r="AL376" s="48"/>
      <c r="AM376" s="48"/>
      <c r="AN376" s="48"/>
      <c r="AO376" s="48"/>
      <c r="AP376" s="48"/>
      <c r="AQ376" s="48"/>
      <c r="AR376" s="48"/>
      <c r="AS376" s="48"/>
      <c r="AT376" s="48"/>
      <c r="AU376" s="48"/>
      <c r="AV376" s="48"/>
      <c r="AW376" s="48"/>
      <c r="AX376" s="48"/>
      <c r="AY376" s="48"/>
      <c r="AZ376" s="48"/>
      <c r="BA376" s="48"/>
      <c r="BB376" s="48"/>
      <c r="BC376" s="48"/>
      <c r="BD376" s="48"/>
    </row>
    <row r="377" spans="1:56" x14ac:dyDescent="0.25">
      <c r="A377" s="48"/>
      <c r="B377" s="48"/>
      <c r="C377" s="48"/>
      <c r="D377" s="48"/>
      <c r="E377" s="48"/>
      <c r="F377" s="48"/>
      <c r="G377" s="48"/>
      <c r="H377" s="48"/>
      <c r="I377" s="48"/>
      <c r="J377" s="48"/>
      <c r="K377" s="48"/>
      <c r="L377" s="48"/>
      <c r="M377" s="48"/>
      <c r="N377" s="48"/>
      <c r="O377" s="48"/>
      <c r="P377" s="48"/>
      <c r="Q377" s="48"/>
      <c r="R377" s="48"/>
      <c r="S377" s="48"/>
      <c r="T377" s="48"/>
      <c r="U377" s="48"/>
      <c r="V377" s="48"/>
      <c r="W377" s="48"/>
      <c r="X377" s="48"/>
      <c r="Y377" s="48"/>
      <c r="Z377" s="48"/>
      <c r="AA377" s="48"/>
      <c r="AB377" s="48"/>
      <c r="AC377" s="48"/>
      <c r="AD377" s="48"/>
      <c r="AE377" s="48"/>
      <c r="AF377" s="48"/>
      <c r="AG377" s="48"/>
      <c r="AH377" s="48"/>
      <c r="AI377" s="48"/>
      <c r="AJ377" s="48"/>
      <c r="AK377" s="48"/>
      <c r="AL377" s="48"/>
      <c r="AM377" s="48"/>
      <c r="AN377" s="48"/>
      <c r="AO377" s="48"/>
      <c r="AP377" s="48"/>
      <c r="AQ377" s="48"/>
      <c r="AR377" s="48"/>
      <c r="AS377" s="48"/>
      <c r="AT377" s="48"/>
      <c r="AU377" s="48"/>
      <c r="AV377" s="48"/>
      <c r="AW377" s="48"/>
      <c r="AX377" s="48"/>
      <c r="AY377" s="48"/>
      <c r="AZ377" s="48"/>
      <c r="BA377" s="48"/>
      <c r="BB377" s="48"/>
      <c r="BC377" s="48"/>
      <c r="BD377" s="48"/>
    </row>
    <row r="378" spans="1:56" x14ac:dyDescent="0.25">
      <c r="A378" s="48"/>
      <c r="B378" s="48"/>
      <c r="C378" s="48"/>
      <c r="D378" s="48"/>
      <c r="E378" s="48"/>
      <c r="F378" s="48"/>
      <c r="G378" s="48"/>
      <c r="H378" s="48"/>
      <c r="I378" s="48"/>
      <c r="J378" s="48"/>
      <c r="K378" s="48"/>
      <c r="L378" s="48"/>
      <c r="M378" s="48"/>
      <c r="N378" s="48"/>
      <c r="O378" s="48"/>
      <c r="P378" s="48"/>
      <c r="Q378" s="48"/>
      <c r="R378" s="48"/>
      <c r="S378" s="48"/>
      <c r="T378" s="48"/>
      <c r="U378" s="48"/>
      <c r="V378" s="48"/>
      <c r="W378" s="48"/>
      <c r="X378" s="48"/>
      <c r="Y378" s="48"/>
      <c r="Z378" s="48"/>
      <c r="AA378" s="48"/>
      <c r="AB378" s="48"/>
      <c r="AC378" s="48"/>
      <c r="AD378" s="48"/>
      <c r="AE378" s="48"/>
      <c r="AF378" s="48"/>
      <c r="AG378" s="48"/>
      <c r="AH378" s="48"/>
      <c r="AI378" s="48"/>
      <c r="AJ378" s="48"/>
      <c r="AK378" s="48"/>
      <c r="AL378" s="48"/>
      <c r="AM378" s="48"/>
      <c r="AN378" s="48"/>
      <c r="AO378" s="48"/>
      <c r="AP378" s="48"/>
      <c r="AQ378" s="48"/>
      <c r="AR378" s="48"/>
      <c r="AS378" s="48"/>
      <c r="AT378" s="48"/>
      <c r="AU378" s="48"/>
      <c r="AV378" s="48"/>
      <c r="AW378" s="48"/>
      <c r="AX378" s="48"/>
      <c r="AY378" s="48"/>
      <c r="AZ378" s="48"/>
      <c r="BA378" s="48"/>
      <c r="BB378" s="48"/>
      <c r="BC378" s="48"/>
      <c r="BD378" s="48"/>
    </row>
    <row r="379" spans="1:56" x14ac:dyDescent="0.25">
      <c r="A379" s="48"/>
      <c r="B379" s="48"/>
      <c r="C379" s="48"/>
      <c r="D379" s="48"/>
      <c r="E379" s="48"/>
      <c r="F379" s="48"/>
      <c r="G379" s="48"/>
      <c r="H379" s="48"/>
      <c r="I379" s="48"/>
      <c r="J379" s="48"/>
      <c r="K379" s="48"/>
      <c r="L379" s="48"/>
      <c r="M379" s="48"/>
      <c r="N379" s="48"/>
      <c r="O379" s="48"/>
      <c r="P379" s="48"/>
      <c r="Q379" s="48"/>
      <c r="R379" s="48"/>
      <c r="S379" s="48"/>
      <c r="T379" s="48"/>
      <c r="U379" s="48"/>
      <c r="V379" s="48"/>
      <c r="W379" s="48"/>
      <c r="X379" s="48"/>
      <c r="Y379" s="48"/>
      <c r="Z379" s="48"/>
      <c r="AA379" s="48"/>
      <c r="AB379" s="48"/>
      <c r="AC379" s="48"/>
      <c r="AD379" s="48"/>
      <c r="AE379" s="48"/>
      <c r="AF379" s="48"/>
      <c r="AG379" s="48"/>
      <c r="AH379" s="48"/>
      <c r="AI379" s="48"/>
      <c r="AJ379" s="48"/>
      <c r="AK379" s="48"/>
      <c r="AL379" s="48"/>
      <c r="AM379" s="48"/>
      <c r="AN379" s="48"/>
      <c r="AO379" s="48"/>
      <c r="AP379" s="48"/>
      <c r="AQ379" s="48"/>
      <c r="AR379" s="48"/>
      <c r="AS379" s="48"/>
      <c r="AT379" s="48"/>
      <c r="AU379" s="48"/>
      <c r="AV379" s="48"/>
      <c r="AW379" s="48"/>
      <c r="AX379" s="48"/>
      <c r="AY379" s="48"/>
      <c r="AZ379" s="48"/>
      <c r="BA379" s="48"/>
      <c r="BB379" s="48"/>
      <c r="BC379" s="48"/>
      <c r="BD379" s="48"/>
    </row>
    <row r="380" spans="1:56" x14ac:dyDescent="0.25">
      <c r="A380" s="48"/>
      <c r="B380" s="48"/>
      <c r="C380" s="48"/>
      <c r="D380" s="48"/>
      <c r="E380" s="48"/>
      <c r="F380" s="48"/>
      <c r="G380" s="48"/>
      <c r="H380" s="48"/>
      <c r="I380" s="48"/>
      <c r="J380" s="48"/>
      <c r="K380" s="48"/>
      <c r="L380" s="48"/>
      <c r="M380" s="48"/>
      <c r="N380" s="48"/>
      <c r="O380" s="48"/>
      <c r="P380" s="48"/>
      <c r="Q380" s="48"/>
      <c r="R380" s="48"/>
      <c r="S380" s="48"/>
      <c r="T380" s="48"/>
      <c r="U380" s="48"/>
      <c r="V380" s="48"/>
      <c r="W380" s="48"/>
      <c r="X380" s="48"/>
      <c r="Y380" s="48"/>
      <c r="Z380" s="48"/>
      <c r="AA380" s="48"/>
      <c r="AB380" s="48"/>
      <c r="AC380" s="48"/>
      <c r="AD380" s="48"/>
      <c r="AE380" s="48"/>
      <c r="AF380" s="48"/>
      <c r="AG380" s="48"/>
      <c r="AH380" s="48"/>
      <c r="AI380" s="48"/>
      <c r="AJ380" s="48"/>
      <c r="AK380" s="48"/>
      <c r="AL380" s="48"/>
      <c r="AM380" s="48"/>
      <c r="AN380" s="48"/>
      <c r="AO380" s="48"/>
      <c r="AP380" s="48"/>
      <c r="AQ380" s="48"/>
      <c r="AR380" s="48"/>
      <c r="AS380" s="48"/>
      <c r="AT380" s="48"/>
      <c r="AU380" s="48"/>
      <c r="AV380" s="48"/>
      <c r="AW380" s="48"/>
      <c r="AX380" s="48"/>
      <c r="AY380" s="48"/>
      <c r="AZ380" s="48"/>
      <c r="BA380" s="48"/>
      <c r="BB380" s="48"/>
      <c r="BC380" s="48"/>
      <c r="BD380" s="48"/>
    </row>
    <row r="381" spans="1:56" x14ac:dyDescent="0.25">
      <c r="A381" s="48"/>
      <c r="B381" s="48"/>
      <c r="C381" s="48"/>
      <c r="D381" s="48"/>
      <c r="E381" s="48"/>
      <c r="F381" s="48"/>
      <c r="G381" s="48"/>
      <c r="H381" s="48"/>
      <c r="I381" s="48"/>
      <c r="J381" s="48"/>
      <c r="K381" s="48"/>
      <c r="L381" s="48"/>
      <c r="M381" s="48"/>
      <c r="N381" s="48"/>
      <c r="O381" s="48"/>
      <c r="P381" s="48"/>
      <c r="Q381" s="48"/>
      <c r="R381" s="48"/>
      <c r="S381" s="48"/>
      <c r="T381" s="48"/>
      <c r="U381" s="48"/>
      <c r="V381" s="48"/>
      <c r="W381" s="48"/>
      <c r="X381" s="48"/>
      <c r="Y381" s="48"/>
      <c r="Z381" s="48"/>
      <c r="AA381" s="48"/>
      <c r="AB381" s="48"/>
      <c r="AC381" s="48"/>
      <c r="AD381" s="48"/>
      <c r="AE381" s="48"/>
      <c r="AF381" s="48"/>
      <c r="AG381" s="48"/>
      <c r="AH381" s="48"/>
      <c r="AI381" s="48"/>
      <c r="AJ381" s="48"/>
      <c r="AK381" s="48"/>
      <c r="AL381" s="48"/>
      <c r="AM381" s="48"/>
      <c r="AN381" s="48"/>
      <c r="AO381" s="48"/>
      <c r="AP381" s="48"/>
      <c r="AQ381" s="48"/>
      <c r="AR381" s="48"/>
      <c r="AS381" s="48"/>
      <c r="AT381" s="48"/>
      <c r="AU381" s="48"/>
      <c r="AV381" s="48"/>
      <c r="AW381" s="48"/>
      <c r="AX381" s="48"/>
      <c r="AY381" s="48"/>
      <c r="AZ381" s="48"/>
      <c r="BA381" s="48"/>
      <c r="BB381" s="48"/>
      <c r="BC381" s="48"/>
      <c r="BD381" s="48"/>
    </row>
    <row r="382" spans="1:56" x14ac:dyDescent="0.25">
      <c r="A382" s="48"/>
      <c r="B382" s="48"/>
      <c r="C382" s="48"/>
      <c r="D382" s="48"/>
      <c r="E382" s="48"/>
      <c r="F382" s="48"/>
      <c r="G382" s="48"/>
      <c r="H382" s="48"/>
      <c r="I382" s="48"/>
      <c r="J382" s="48"/>
      <c r="K382" s="48"/>
      <c r="L382" s="48"/>
      <c r="M382" s="48"/>
      <c r="N382" s="48"/>
      <c r="O382" s="48"/>
      <c r="P382" s="48"/>
      <c r="Q382" s="48"/>
      <c r="R382" s="48"/>
      <c r="S382" s="48"/>
      <c r="T382" s="48"/>
      <c r="U382" s="48"/>
      <c r="V382" s="48"/>
      <c r="W382" s="48"/>
      <c r="X382" s="48"/>
      <c r="Y382" s="48"/>
      <c r="Z382" s="48"/>
      <c r="AA382" s="48"/>
      <c r="AB382" s="48"/>
      <c r="AC382" s="48"/>
      <c r="AD382" s="48"/>
      <c r="AE382" s="48"/>
      <c r="AF382" s="48"/>
      <c r="AG382" s="48"/>
      <c r="AH382" s="48"/>
      <c r="AI382" s="48"/>
      <c r="AJ382" s="48"/>
      <c r="AK382" s="48"/>
      <c r="AL382" s="48"/>
      <c r="AM382" s="48"/>
      <c r="AN382" s="48"/>
      <c r="AO382" s="48"/>
      <c r="AP382" s="48"/>
      <c r="AQ382" s="48"/>
      <c r="AR382" s="48"/>
      <c r="AS382" s="48"/>
      <c r="AT382" s="48"/>
      <c r="AU382" s="48"/>
      <c r="AV382" s="48"/>
      <c r="AW382" s="48"/>
      <c r="AX382" s="48"/>
      <c r="AY382" s="48"/>
      <c r="AZ382" s="48"/>
      <c r="BA382" s="48"/>
      <c r="BB382" s="48"/>
      <c r="BC382" s="48"/>
      <c r="BD382" s="48"/>
    </row>
    <row r="383" spans="1:56" x14ac:dyDescent="0.25">
      <c r="A383" s="48"/>
      <c r="B383" s="48"/>
      <c r="C383" s="48"/>
      <c r="D383" s="48"/>
      <c r="E383" s="48"/>
      <c r="F383" s="48"/>
      <c r="G383" s="48"/>
      <c r="H383" s="48"/>
      <c r="I383" s="48"/>
      <c r="J383" s="48"/>
      <c r="K383" s="48"/>
      <c r="L383" s="48"/>
      <c r="M383" s="48"/>
      <c r="N383" s="48"/>
      <c r="O383" s="48"/>
      <c r="P383" s="48"/>
      <c r="Q383" s="48"/>
      <c r="R383" s="48"/>
      <c r="S383" s="48"/>
      <c r="T383" s="48"/>
      <c r="U383" s="48"/>
      <c r="V383" s="48"/>
      <c r="W383" s="48"/>
      <c r="X383" s="48"/>
      <c r="Y383" s="48"/>
      <c r="Z383" s="48"/>
      <c r="AA383" s="48"/>
      <c r="AB383" s="48"/>
      <c r="AC383" s="48"/>
      <c r="AD383" s="48"/>
      <c r="AE383" s="48"/>
      <c r="AF383" s="48"/>
      <c r="AG383" s="48"/>
      <c r="AH383" s="48"/>
      <c r="AI383" s="48"/>
      <c r="AJ383" s="48"/>
      <c r="AK383" s="48"/>
      <c r="AL383" s="48"/>
      <c r="AM383" s="48"/>
      <c r="AN383" s="48"/>
      <c r="AO383" s="48"/>
      <c r="AP383" s="48"/>
      <c r="AQ383" s="48"/>
      <c r="AR383" s="48"/>
      <c r="AS383" s="48"/>
      <c r="AT383" s="48"/>
      <c r="AU383" s="48"/>
      <c r="AV383" s="48"/>
      <c r="AW383" s="48"/>
      <c r="AX383" s="48"/>
      <c r="AY383" s="48"/>
      <c r="AZ383" s="48"/>
      <c r="BA383" s="48"/>
      <c r="BB383" s="48"/>
      <c r="BC383" s="48"/>
      <c r="BD383" s="48"/>
    </row>
    <row r="384" spans="1:56" x14ac:dyDescent="0.25">
      <c r="A384" s="48"/>
      <c r="B384" s="48"/>
      <c r="C384" s="48"/>
      <c r="D384" s="48"/>
      <c r="E384" s="48"/>
      <c r="F384" s="48"/>
      <c r="G384" s="48"/>
      <c r="H384" s="48"/>
      <c r="I384" s="48"/>
      <c r="J384" s="48"/>
      <c r="K384" s="48"/>
      <c r="L384" s="48"/>
      <c r="M384" s="48"/>
      <c r="N384" s="48"/>
      <c r="O384" s="48"/>
      <c r="P384" s="48"/>
      <c r="Q384" s="48"/>
      <c r="R384" s="48"/>
      <c r="S384" s="48"/>
      <c r="T384" s="48"/>
      <c r="U384" s="48"/>
      <c r="V384" s="48"/>
      <c r="W384" s="48"/>
      <c r="X384" s="48"/>
      <c r="Y384" s="48"/>
      <c r="Z384" s="48"/>
      <c r="AA384" s="48"/>
      <c r="AB384" s="48"/>
      <c r="AC384" s="48"/>
      <c r="AD384" s="48"/>
      <c r="AE384" s="48"/>
      <c r="AF384" s="48"/>
      <c r="AG384" s="48"/>
      <c r="AH384" s="48"/>
      <c r="AI384" s="48"/>
      <c r="AJ384" s="48"/>
      <c r="AK384" s="48"/>
      <c r="AL384" s="48"/>
      <c r="AM384" s="48"/>
      <c r="AN384" s="48"/>
      <c r="AO384" s="48"/>
      <c r="AP384" s="48"/>
      <c r="AQ384" s="48"/>
      <c r="AR384" s="48"/>
      <c r="AS384" s="48"/>
      <c r="AT384" s="48"/>
      <c r="AU384" s="48"/>
      <c r="AV384" s="48"/>
      <c r="AW384" s="48"/>
      <c r="AX384" s="48"/>
      <c r="AY384" s="48"/>
      <c r="AZ384" s="48"/>
      <c r="BA384" s="48"/>
      <c r="BB384" s="48"/>
      <c r="BC384" s="48"/>
      <c r="BD384" s="48"/>
    </row>
    <row r="385" spans="1:56" x14ac:dyDescent="0.25">
      <c r="A385" s="48"/>
      <c r="B385" s="48"/>
      <c r="C385" s="48"/>
      <c r="D385" s="48"/>
      <c r="E385" s="48"/>
      <c r="F385" s="48"/>
      <c r="G385" s="48"/>
      <c r="H385" s="48"/>
      <c r="I385" s="48"/>
      <c r="J385" s="48"/>
      <c r="K385" s="48"/>
      <c r="L385" s="48"/>
      <c r="M385" s="48"/>
      <c r="N385" s="48"/>
      <c r="O385" s="48"/>
      <c r="P385" s="48"/>
      <c r="Q385" s="48"/>
      <c r="R385" s="48"/>
      <c r="S385" s="48"/>
      <c r="T385" s="48"/>
      <c r="U385" s="48"/>
      <c r="V385" s="48"/>
      <c r="W385" s="48"/>
      <c r="X385" s="48"/>
      <c r="Y385" s="48"/>
      <c r="Z385" s="48"/>
      <c r="AA385" s="48"/>
      <c r="AB385" s="48"/>
      <c r="AC385" s="48"/>
      <c r="AD385" s="48"/>
      <c r="AE385" s="48"/>
      <c r="AF385" s="48"/>
      <c r="AG385" s="48"/>
      <c r="AH385" s="48"/>
      <c r="AI385" s="48"/>
      <c r="AJ385" s="48"/>
      <c r="AK385" s="48"/>
      <c r="AL385" s="48"/>
      <c r="AM385" s="48"/>
      <c r="AN385" s="48"/>
      <c r="AO385" s="48"/>
      <c r="AP385" s="48"/>
      <c r="AQ385" s="48"/>
      <c r="AR385" s="48"/>
      <c r="AS385" s="48"/>
      <c r="AT385" s="48"/>
      <c r="AU385" s="48"/>
      <c r="AV385" s="48"/>
      <c r="AW385" s="48"/>
      <c r="AX385" s="48"/>
      <c r="AY385" s="48"/>
      <c r="AZ385" s="48"/>
      <c r="BA385" s="48"/>
      <c r="BB385" s="48"/>
      <c r="BC385" s="48"/>
      <c r="BD385" s="48"/>
    </row>
    <row r="386" spans="1:56" x14ac:dyDescent="0.25">
      <c r="A386" s="48"/>
      <c r="B386" s="48"/>
      <c r="C386" s="48"/>
      <c r="D386" s="48"/>
      <c r="E386" s="48"/>
      <c r="F386" s="48"/>
      <c r="G386" s="48"/>
      <c r="H386" s="48"/>
      <c r="I386" s="48"/>
      <c r="J386" s="48"/>
      <c r="K386" s="48"/>
      <c r="L386" s="48"/>
      <c r="M386" s="48"/>
      <c r="N386" s="48"/>
      <c r="O386" s="48"/>
      <c r="P386" s="48"/>
      <c r="Q386" s="48"/>
      <c r="R386" s="48"/>
      <c r="S386" s="48"/>
      <c r="T386" s="48"/>
      <c r="U386" s="48"/>
      <c r="V386" s="48"/>
      <c r="W386" s="48"/>
      <c r="X386" s="48"/>
      <c r="Y386" s="48"/>
      <c r="Z386" s="48"/>
      <c r="AA386" s="48"/>
      <c r="AB386" s="48"/>
      <c r="AC386" s="48"/>
      <c r="AD386" s="48"/>
      <c r="AE386" s="48"/>
      <c r="AF386" s="48"/>
      <c r="AG386" s="48"/>
      <c r="AH386" s="48"/>
      <c r="AI386" s="48"/>
      <c r="AJ386" s="48"/>
      <c r="AK386" s="48"/>
      <c r="AL386" s="48"/>
      <c r="AM386" s="48"/>
      <c r="AN386" s="48"/>
      <c r="AO386" s="48"/>
      <c r="AP386" s="48"/>
      <c r="AQ386" s="48"/>
      <c r="AR386" s="48"/>
      <c r="AS386" s="48"/>
      <c r="AT386" s="48"/>
      <c r="AU386" s="48"/>
      <c r="AV386" s="48"/>
      <c r="AW386" s="48"/>
      <c r="AX386" s="48"/>
      <c r="AY386" s="48"/>
      <c r="AZ386" s="48"/>
      <c r="BA386" s="48"/>
      <c r="BB386" s="48"/>
      <c r="BC386" s="48"/>
      <c r="BD386" s="48"/>
    </row>
    <row r="387" spans="1:56" x14ac:dyDescent="0.25">
      <c r="A387" s="48"/>
      <c r="B387" s="48"/>
      <c r="C387" s="48"/>
      <c r="D387" s="48"/>
      <c r="E387" s="48"/>
      <c r="F387" s="48"/>
      <c r="G387" s="48"/>
      <c r="H387" s="48"/>
      <c r="I387" s="48"/>
      <c r="J387" s="48"/>
      <c r="K387" s="48"/>
      <c r="L387" s="48"/>
      <c r="M387" s="48"/>
      <c r="N387" s="48"/>
      <c r="O387" s="48"/>
      <c r="P387" s="48"/>
      <c r="Q387" s="48"/>
      <c r="R387" s="48"/>
      <c r="S387" s="48"/>
      <c r="T387" s="48"/>
      <c r="U387" s="48"/>
      <c r="V387" s="48"/>
      <c r="W387" s="48"/>
      <c r="X387" s="48"/>
      <c r="Y387" s="48"/>
      <c r="Z387" s="48"/>
      <c r="AA387" s="48"/>
      <c r="AB387" s="48"/>
      <c r="AC387" s="48"/>
      <c r="AD387" s="48"/>
      <c r="AE387" s="48"/>
      <c r="AF387" s="48"/>
      <c r="AG387" s="48"/>
      <c r="AH387" s="48"/>
      <c r="AI387" s="48"/>
      <c r="AJ387" s="48"/>
      <c r="AK387" s="48"/>
      <c r="AL387" s="48"/>
      <c r="AM387" s="48"/>
      <c r="AN387" s="48"/>
      <c r="AO387" s="48"/>
      <c r="AP387" s="48"/>
      <c r="AQ387" s="48"/>
      <c r="AR387" s="48"/>
      <c r="AS387" s="48"/>
      <c r="AT387" s="48"/>
      <c r="AU387" s="48"/>
      <c r="AV387" s="48"/>
      <c r="AW387" s="48"/>
      <c r="AX387" s="48"/>
      <c r="AY387" s="48"/>
      <c r="AZ387" s="48"/>
      <c r="BA387" s="48"/>
      <c r="BB387" s="48"/>
      <c r="BC387" s="48"/>
      <c r="BD387" s="48"/>
    </row>
    <row r="388" spans="1:56" x14ac:dyDescent="0.25">
      <c r="A388" s="48"/>
      <c r="B388" s="48"/>
      <c r="C388" s="48"/>
      <c r="D388" s="48"/>
      <c r="E388" s="48"/>
      <c r="F388" s="48"/>
      <c r="G388" s="48"/>
      <c r="H388" s="48"/>
      <c r="I388" s="48"/>
      <c r="J388" s="48"/>
      <c r="K388" s="48"/>
      <c r="L388" s="48"/>
      <c r="M388" s="48"/>
      <c r="N388" s="48"/>
      <c r="O388" s="48"/>
      <c r="P388" s="48"/>
      <c r="Q388" s="48"/>
      <c r="R388" s="48"/>
      <c r="S388" s="48"/>
      <c r="T388" s="48"/>
      <c r="U388" s="48"/>
      <c r="V388" s="48"/>
      <c r="W388" s="48"/>
      <c r="X388" s="48"/>
      <c r="Y388" s="48"/>
      <c r="Z388" s="48"/>
      <c r="AA388" s="48"/>
      <c r="AB388" s="48"/>
      <c r="AC388" s="48"/>
      <c r="AD388" s="48"/>
      <c r="AE388" s="48"/>
      <c r="AF388" s="48"/>
      <c r="AG388" s="48"/>
      <c r="AH388" s="48"/>
      <c r="AI388" s="48"/>
      <c r="AJ388" s="48"/>
      <c r="AK388" s="48"/>
      <c r="AL388" s="48"/>
      <c r="AM388" s="48"/>
      <c r="AN388" s="48"/>
      <c r="AO388" s="48"/>
      <c r="AP388" s="48"/>
      <c r="AQ388" s="48"/>
      <c r="AR388" s="48"/>
      <c r="AS388" s="48"/>
      <c r="AT388" s="48"/>
      <c r="AU388" s="48"/>
      <c r="AV388" s="48"/>
      <c r="AW388" s="48"/>
      <c r="AX388" s="48"/>
      <c r="AY388" s="48"/>
      <c r="AZ388" s="48"/>
      <c r="BA388" s="48"/>
      <c r="BB388" s="48"/>
      <c r="BC388" s="48"/>
      <c r="BD388" s="48"/>
    </row>
    <row r="389" spans="1:56" x14ac:dyDescent="0.25">
      <c r="A389" s="48"/>
      <c r="B389" s="48"/>
      <c r="C389" s="48"/>
      <c r="D389" s="48"/>
      <c r="E389" s="48"/>
      <c r="F389" s="48"/>
      <c r="G389" s="48"/>
      <c r="H389" s="48"/>
      <c r="I389" s="48"/>
      <c r="J389" s="48"/>
      <c r="K389" s="48"/>
      <c r="L389" s="48"/>
      <c r="M389" s="48"/>
      <c r="N389" s="48"/>
      <c r="O389" s="48"/>
      <c r="P389" s="48"/>
      <c r="Q389" s="48"/>
      <c r="R389" s="48"/>
      <c r="S389" s="48"/>
      <c r="T389" s="48"/>
      <c r="U389" s="48"/>
      <c r="V389" s="48"/>
      <c r="W389" s="48"/>
      <c r="X389" s="48"/>
      <c r="Y389" s="48"/>
      <c r="Z389" s="48"/>
      <c r="AA389" s="48"/>
      <c r="AB389" s="48"/>
      <c r="AC389" s="48"/>
      <c r="AD389" s="48"/>
      <c r="AE389" s="48"/>
      <c r="AF389" s="48"/>
      <c r="AG389" s="48"/>
      <c r="AH389" s="48"/>
      <c r="AI389" s="48"/>
      <c r="AJ389" s="48"/>
      <c r="AK389" s="48"/>
      <c r="AL389" s="48"/>
      <c r="AM389" s="48"/>
      <c r="AN389" s="48"/>
      <c r="AO389" s="48"/>
      <c r="AP389" s="48"/>
      <c r="AQ389" s="48"/>
      <c r="AR389" s="48"/>
      <c r="AS389" s="48"/>
      <c r="AT389" s="48"/>
      <c r="AU389" s="48"/>
      <c r="AV389" s="48"/>
      <c r="AW389" s="48"/>
      <c r="AX389" s="48"/>
      <c r="AY389" s="48"/>
      <c r="AZ389" s="48"/>
      <c r="BA389" s="48"/>
      <c r="BB389" s="48"/>
      <c r="BC389" s="48"/>
      <c r="BD389" s="48"/>
    </row>
    <row r="390" spans="1:56" x14ac:dyDescent="0.25">
      <c r="A390" s="48"/>
      <c r="B390" s="48"/>
      <c r="C390" s="48"/>
      <c r="D390" s="48"/>
      <c r="E390" s="48"/>
      <c r="F390" s="48"/>
      <c r="G390" s="48"/>
      <c r="H390" s="48"/>
      <c r="I390" s="48"/>
      <c r="J390" s="48"/>
      <c r="K390" s="48"/>
      <c r="L390" s="48"/>
      <c r="M390" s="48"/>
      <c r="N390" s="48"/>
      <c r="O390" s="48"/>
      <c r="P390" s="48"/>
      <c r="Q390" s="48"/>
      <c r="R390" s="48"/>
      <c r="S390" s="48"/>
      <c r="T390" s="48"/>
      <c r="U390" s="48"/>
      <c r="V390" s="48"/>
      <c r="W390" s="48"/>
      <c r="X390" s="48"/>
      <c r="Y390" s="48"/>
      <c r="Z390" s="48"/>
      <c r="AA390" s="48"/>
      <c r="AB390" s="48"/>
      <c r="AC390" s="48"/>
      <c r="AD390" s="48"/>
      <c r="AE390" s="48"/>
      <c r="AF390" s="48"/>
      <c r="AG390" s="48"/>
      <c r="AH390" s="48"/>
      <c r="AI390" s="48"/>
      <c r="AJ390" s="48"/>
      <c r="AK390" s="48"/>
      <c r="AL390" s="48"/>
      <c r="AM390" s="48"/>
      <c r="AN390" s="48"/>
      <c r="AO390" s="48"/>
      <c r="AP390" s="48"/>
      <c r="AQ390" s="48"/>
      <c r="AR390" s="48"/>
      <c r="AS390" s="48"/>
      <c r="AT390" s="48"/>
      <c r="AU390" s="48"/>
      <c r="AV390" s="48"/>
      <c r="AW390" s="48"/>
      <c r="AX390" s="48"/>
      <c r="AY390" s="48"/>
      <c r="AZ390" s="48"/>
      <c r="BA390" s="48"/>
      <c r="BB390" s="48"/>
      <c r="BC390" s="48"/>
      <c r="BD390" s="48"/>
    </row>
    <row r="391" spans="1:56" x14ac:dyDescent="0.25">
      <c r="A391" s="48"/>
      <c r="B391" s="48"/>
      <c r="C391" s="48"/>
      <c r="D391" s="48"/>
      <c r="E391" s="48"/>
      <c r="F391" s="48"/>
      <c r="G391" s="48"/>
      <c r="H391" s="48"/>
      <c r="I391" s="48"/>
      <c r="J391" s="48"/>
      <c r="K391" s="48"/>
      <c r="L391" s="48"/>
      <c r="M391" s="48"/>
      <c r="N391" s="48"/>
      <c r="O391" s="48"/>
      <c r="P391" s="48"/>
      <c r="Q391" s="48"/>
      <c r="R391" s="48"/>
      <c r="S391" s="48"/>
      <c r="T391" s="48"/>
      <c r="U391" s="48"/>
      <c r="V391" s="48"/>
      <c r="W391" s="48"/>
      <c r="X391" s="48"/>
      <c r="Y391" s="48"/>
      <c r="Z391" s="48"/>
      <c r="AA391" s="48"/>
      <c r="AB391" s="48"/>
      <c r="AC391" s="48"/>
      <c r="AD391" s="48"/>
      <c r="AE391" s="48"/>
      <c r="AF391" s="48"/>
      <c r="AG391" s="48"/>
      <c r="AH391" s="48"/>
      <c r="AI391" s="48"/>
      <c r="AJ391" s="48"/>
      <c r="AK391" s="48"/>
      <c r="AL391" s="48"/>
      <c r="AM391" s="48"/>
      <c r="AN391" s="48"/>
      <c r="AO391" s="48"/>
      <c r="AP391" s="48"/>
      <c r="AQ391" s="48"/>
      <c r="AR391" s="48"/>
      <c r="AS391" s="48"/>
      <c r="AT391" s="48"/>
      <c r="AU391" s="48"/>
      <c r="AV391" s="48"/>
      <c r="AW391" s="48"/>
      <c r="AX391" s="48"/>
      <c r="AY391" s="48"/>
      <c r="AZ391" s="48"/>
      <c r="BA391" s="48"/>
      <c r="BB391" s="48"/>
      <c r="BC391" s="48"/>
      <c r="BD391" s="48"/>
    </row>
    <row r="392" spans="1:56" x14ac:dyDescent="0.25">
      <c r="A392" s="48"/>
      <c r="B392" s="48"/>
      <c r="C392" s="48"/>
      <c r="D392" s="48"/>
      <c r="E392" s="48"/>
      <c r="F392" s="48"/>
      <c r="G392" s="48"/>
      <c r="H392" s="48"/>
      <c r="I392" s="48"/>
      <c r="J392" s="48"/>
      <c r="K392" s="48"/>
      <c r="L392" s="48"/>
      <c r="M392" s="48"/>
      <c r="N392" s="48"/>
      <c r="O392" s="48"/>
      <c r="P392" s="48"/>
      <c r="Q392" s="48"/>
      <c r="R392" s="48"/>
      <c r="S392" s="48"/>
      <c r="T392" s="48"/>
      <c r="U392" s="48"/>
      <c r="V392" s="48"/>
      <c r="W392" s="48"/>
      <c r="X392" s="48"/>
      <c r="Y392" s="48"/>
      <c r="Z392" s="48"/>
      <c r="AA392" s="48"/>
      <c r="AB392" s="48"/>
      <c r="AC392" s="48"/>
      <c r="AD392" s="48"/>
      <c r="AE392" s="48"/>
      <c r="AF392" s="48"/>
      <c r="AG392" s="48"/>
      <c r="AH392" s="48"/>
      <c r="AI392" s="48"/>
      <c r="AJ392" s="48"/>
      <c r="AK392" s="48"/>
      <c r="AL392" s="48"/>
      <c r="AM392" s="48"/>
      <c r="AN392" s="48"/>
      <c r="AO392" s="48"/>
      <c r="AP392" s="48"/>
      <c r="AQ392" s="48"/>
      <c r="AR392" s="48"/>
      <c r="AS392" s="48"/>
      <c r="AT392" s="48"/>
      <c r="AU392" s="48"/>
      <c r="AV392" s="48"/>
      <c r="AW392" s="48"/>
      <c r="AX392" s="48"/>
      <c r="AY392" s="48"/>
      <c r="AZ392" s="48"/>
      <c r="BA392" s="48"/>
      <c r="BB392" s="48"/>
      <c r="BC392" s="48"/>
      <c r="BD392" s="48"/>
    </row>
    <row r="393" spans="1:56" x14ac:dyDescent="0.25">
      <c r="A393" s="48"/>
      <c r="B393" s="48"/>
      <c r="C393" s="48"/>
      <c r="D393" s="48"/>
      <c r="E393" s="48"/>
      <c r="F393" s="48"/>
      <c r="G393" s="48"/>
      <c r="H393" s="48"/>
      <c r="I393" s="48"/>
      <c r="J393" s="48"/>
      <c r="K393" s="48"/>
      <c r="L393" s="48"/>
      <c r="M393" s="48"/>
      <c r="N393" s="48"/>
      <c r="O393" s="48"/>
      <c r="P393" s="48"/>
      <c r="Q393" s="48"/>
      <c r="R393" s="48"/>
      <c r="S393" s="48"/>
      <c r="T393" s="48"/>
      <c r="U393" s="48"/>
      <c r="V393" s="48"/>
      <c r="W393" s="48"/>
      <c r="X393" s="48"/>
      <c r="Y393" s="48"/>
      <c r="Z393" s="48"/>
      <c r="AA393" s="48"/>
      <c r="AB393" s="48"/>
      <c r="AC393" s="48"/>
      <c r="AD393" s="48"/>
      <c r="AE393" s="48"/>
      <c r="AF393" s="48"/>
      <c r="AG393" s="48"/>
      <c r="AH393" s="48"/>
      <c r="AI393" s="48"/>
      <c r="AJ393" s="48"/>
      <c r="AK393" s="48"/>
      <c r="AL393" s="48"/>
      <c r="AM393" s="48"/>
      <c r="AN393" s="48"/>
      <c r="AO393" s="48"/>
      <c r="AP393" s="48"/>
      <c r="AQ393" s="48"/>
      <c r="AR393" s="48"/>
      <c r="AS393" s="48"/>
      <c r="AT393" s="48"/>
      <c r="AU393" s="48"/>
      <c r="AV393" s="48"/>
      <c r="AW393" s="48"/>
      <c r="AX393" s="48"/>
      <c r="AY393" s="48"/>
      <c r="AZ393" s="48"/>
      <c r="BA393" s="48"/>
      <c r="BB393" s="48"/>
      <c r="BC393" s="48"/>
      <c r="BD393" s="48"/>
    </row>
    <row r="394" spans="1:56" x14ac:dyDescent="0.25">
      <c r="A394" s="48"/>
      <c r="B394" s="48"/>
      <c r="C394" s="48"/>
      <c r="D394" s="48"/>
      <c r="E394" s="48"/>
      <c r="F394" s="48"/>
      <c r="G394" s="48"/>
      <c r="H394" s="48"/>
      <c r="I394" s="48"/>
      <c r="J394" s="48"/>
      <c r="K394" s="48"/>
      <c r="L394" s="48"/>
      <c r="M394" s="48"/>
      <c r="N394" s="48"/>
      <c r="O394" s="48"/>
      <c r="P394" s="48"/>
      <c r="Q394" s="48"/>
      <c r="R394" s="48"/>
      <c r="S394" s="48"/>
      <c r="T394" s="48"/>
      <c r="U394" s="48"/>
      <c r="V394" s="48"/>
      <c r="W394" s="48"/>
      <c r="X394" s="48"/>
      <c r="Y394" s="48"/>
      <c r="Z394" s="48"/>
      <c r="AA394" s="48"/>
      <c r="AB394" s="48"/>
      <c r="AC394" s="48"/>
      <c r="AD394" s="48"/>
      <c r="AE394" s="48"/>
      <c r="AF394" s="48"/>
      <c r="AG394" s="48"/>
      <c r="AH394" s="48"/>
      <c r="AI394" s="48"/>
      <c r="AJ394" s="48"/>
      <c r="AK394" s="48"/>
      <c r="AL394" s="48"/>
      <c r="AM394" s="48"/>
      <c r="AN394" s="48"/>
      <c r="AO394" s="48"/>
      <c r="AP394" s="48"/>
      <c r="AQ394" s="48"/>
      <c r="AR394" s="48"/>
      <c r="AS394" s="48"/>
      <c r="AT394" s="48"/>
      <c r="AU394" s="48"/>
      <c r="AV394" s="48"/>
      <c r="AW394" s="48"/>
      <c r="AX394" s="48"/>
      <c r="AY394" s="48"/>
      <c r="AZ394" s="48"/>
      <c r="BA394" s="48"/>
      <c r="BB394" s="48"/>
      <c r="BC394" s="48"/>
      <c r="BD394" s="48"/>
    </row>
    <row r="395" spans="1:56" x14ac:dyDescent="0.25">
      <c r="A395" s="48"/>
      <c r="B395" s="48"/>
      <c r="C395" s="48"/>
      <c r="D395" s="48"/>
      <c r="E395" s="48"/>
      <c r="F395" s="48"/>
      <c r="G395" s="48"/>
      <c r="H395" s="48"/>
      <c r="I395" s="48"/>
      <c r="J395" s="48"/>
      <c r="K395" s="48"/>
      <c r="L395" s="48"/>
      <c r="M395" s="48"/>
      <c r="N395" s="48"/>
      <c r="O395" s="48"/>
      <c r="P395" s="48"/>
      <c r="Q395" s="48"/>
      <c r="R395" s="48"/>
      <c r="S395" s="48"/>
      <c r="T395" s="48"/>
      <c r="U395" s="48"/>
      <c r="V395" s="48"/>
      <c r="W395" s="48"/>
      <c r="X395" s="48"/>
      <c r="Y395" s="48"/>
      <c r="Z395" s="48"/>
      <c r="AA395" s="48"/>
      <c r="AB395" s="48"/>
      <c r="AC395" s="48"/>
      <c r="AD395" s="48"/>
      <c r="AE395" s="48"/>
      <c r="AF395" s="48"/>
      <c r="AG395" s="48"/>
      <c r="AH395" s="48"/>
      <c r="AI395" s="48"/>
      <c r="AJ395" s="48"/>
      <c r="AK395" s="48"/>
      <c r="AL395" s="48"/>
      <c r="AM395" s="48"/>
      <c r="AN395" s="48"/>
      <c r="AO395" s="48"/>
      <c r="AP395" s="48"/>
      <c r="AQ395" s="48"/>
      <c r="AR395" s="48"/>
      <c r="AS395" s="48"/>
      <c r="AT395" s="48"/>
      <c r="AU395" s="48"/>
      <c r="AV395" s="48"/>
      <c r="AW395" s="48"/>
      <c r="AX395" s="48"/>
      <c r="AY395" s="48"/>
      <c r="AZ395" s="48"/>
      <c r="BA395" s="48"/>
      <c r="BB395" s="48"/>
      <c r="BC395" s="48"/>
      <c r="BD395" s="48"/>
    </row>
    <row r="396" spans="1:56" x14ac:dyDescent="0.25">
      <c r="A396" s="48"/>
      <c r="B396" s="48"/>
      <c r="C396" s="48"/>
      <c r="D396" s="48"/>
      <c r="E396" s="48"/>
      <c r="F396" s="48"/>
      <c r="G396" s="48"/>
      <c r="H396" s="48"/>
      <c r="I396" s="48"/>
      <c r="J396" s="48"/>
      <c r="K396" s="48"/>
      <c r="L396" s="48"/>
      <c r="M396" s="48"/>
      <c r="N396" s="48"/>
      <c r="O396" s="48"/>
      <c r="P396" s="48"/>
      <c r="Q396" s="48"/>
      <c r="R396" s="48"/>
      <c r="S396" s="48"/>
      <c r="T396" s="48"/>
      <c r="U396" s="48"/>
      <c r="V396" s="48"/>
      <c r="W396" s="48"/>
      <c r="X396" s="48"/>
      <c r="Y396" s="48"/>
      <c r="Z396" s="48"/>
      <c r="AA396" s="48"/>
      <c r="AB396" s="48"/>
      <c r="AC396" s="48"/>
      <c r="AD396" s="48"/>
      <c r="AE396" s="48"/>
      <c r="AF396" s="48"/>
      <c r="AG396" s="48"/>
      <c r="AH396" s="48"/>
      <c r="AI396" s="48"/>
      <c r="AJ396" s="48"/>
      <c r="AK396" s="48"/>
      <c r="AL396" s="48"/>
      <c r="AM396" s="48"/>
      <c r="AN396" s="48"/>
      <c r="AO396" s="48"/>
      <c r="AP396" s="48"/>
      <c r="AQ396" s="48"/>
      <c r="AR396" s="48"/>
      <c r="AS396" s="48"/>
      <c r="AT396" s="48"/>
      <c r="AU396" s="48"/>
      <c r="AV396" s="48"/>
      <c r="AW396" s="48"/>
      <c r="AX396" s="48"/>
      <c r="AY396" s="48"/>
      <c r="AZ396" s="48"/>
      <c r="BA396" s="48"/>
      <c r="BB396" s="48"/>
      <c r="BC396" s="48"/>
      <c r="BD396" s="48"/>
    </row>
    <row r="397" spans="1:56" x14ac:dyDescent="0.25">
      <c r="A397" s="48"/>
      <c r="B397" s="48"/>
      <c r="C397" s="48"/>
      <c r="D397" s="48"/>
      <c r="E397" s="48"/>
      <c r="F397" s="48"/>
      <c r="G397" s="48"/>
      <c r="H397" s="48"/>
      <c r="I397" s="48"/>
      <c r="J397" s="48"/>
      <c r="K397" s="48"/>
      <c r="L397" s="48"/>
      <c r="M397" s="48"/>
      <c r="N397" s="48"/>
      <c r="O397" s="48"/>
      <c r="P397" s="48"/>
      <c r="Q397" s="48"/>
      <c r="R397" s="48"/>
      <c r="S397" s="48"/>
      <c r="T397" s="48"/>
      <c r="U397" s="48"/>
      <c r="V397" s="48"/>
      <c r="W397" s="48"/>
      <c r="X397" s="48"/>
      <c r="Y397" s="48"/>
      <c r="Z397" s="48"/>
      <c r="AA397" s="48"/>
      <c r="AB397" s="48"/>
      <c r="AC397" s="48"/>
      <c r="AD397" s="48"/>
      <c r="AE397" s="48"/>
      <c r="AF397" s="48"/>
      <c r="AG397" s="48"/>
      <c r="AH397" s="48"/>
      <c r="AI397" s="48"/>
      <c r="AJ397" s="48"/>
      <c r="AK397" s="48"/>
      <c r="AL397" s="48"/>
      <c r="AM397" s="48"/>
      <c r="AN397" s="48"/>
      <c r="AO397" s="48"/>
      <c r="AP397" s="48"/>
      <c r="AQ397" s="48"/>
      <c r="AR397" s="48"/>
      <c r="AS397" s="48"/>
      <c r="AT397" s="48"/>
      <c r="AU397" s="48"/>
      <c r="AV397" s="48"/>
      <c r="AW397" s="48"/>
      <c r="AX397" s="48"/>
      <c r="AY397" s="48"/>
      <c r="AZ397" s="48"/>
      <c r="BA397" s="48"/>
      <c r="BB397" s="48"/>
      <c r="BC397" s="48"/>
      <c r="BD397" s="48"/>
    </row>
    <row r="398" spans="1:56" x14ac:dyDescent="0.25">
      <c r="A398" s="48"/>
      <c r="B398" s="48"/>
      <c r="C398" s="48"/>
      <c r="D398" s="48"/>
      <c r="E398" s="48"/>
      <c r="F398" s="48"/>
      <c r="G398" s="48"/>
      <c r="H398" s="48"/>
      <c r="I398" s="48"/>
      <c r="J398" s="48"/>
      <c r="K398" s="48"/>
      <c r="L398" s="48"/>
      <c r="M398" s="48"/>
      <c r="N398" s="48"/>
      <c r="O398" s="48"/>
      <c r="P398" s="48"/>
      <c r="Q398" s="48"/>
      <c r="R398" s="48"/>
      <c r="S398" s="48"/>
      <c r="T398" s="48"/>
      <c r="U398" s="48"/>
      <c r="V398" s="48"/>
      <c r="W398" s="48"/>
      <c r="X398" s="48"/>
      <c r="Y398" s="48"/>
      <c r="Z398" s="48"/>
      <c r="AA398" s="48"/>
      <c r="AB398" s="48"/>
      <c r="AC398" s="48"/>
      <c r="AD398" s="48"/>
      <c r="AE398" s="48"/>
      <c r="AF398" s="48"/>
      <c r="AG398" s="48"/>
      <c r="AH398" s="48"/>
      <c r="AI398" s="48"/>
      <c r="AJ398" s="48"/>
      <c r="AK398" s="48"/>
      <c r="AL398" s="48"/>
      <c r="AM398" s="48"/>
      <c r="AN398" s="48"/>
      <c r="AO398" s="48"/>
      <c r="AP398" s="48"/>
      <c r="AQ398" s="48"/>
      <c r="AR398" s="48"/>
      <c r="AS398" s="48"/>
      <c r="AT398" s="48"/>
      <c r="AU398" s="48"/>
      <c r="AV398" s="48"/>
      <c r="AW398" s="48"/>
      <c r="AX398" s="48"/>
      <c r="AY398" s="48"/>
      <c r="AZ398" s="48"/>
      <c r="BA398" s="48"/>
      <c r="BB398" s="48"/>
      <c r="BC398" s="48"/>
      <c r="BD398" s="48"/>
    </row>
    <row r="399" spans="1:56" x14ac:dyDescent="0.25">
      <c r="A399" s="48"/>
      <c r="B399" s="48"/>
      <c r="C399" s="48"/>
      <c r="D399" s="48"/>
      <c r="E399" s="48"/>
      <c r="F399" s="48"/>
      <c r="G399" s="48"/>
      <c r="H399" s="48"/>
      <c r="I399" s="48"/>
      <c r="J399" s="48"/>
      <c r="K399" s="48"/>
      <c r="L399" s="48"/>
      <c r="M399" s="48"/>
      <c r="N399" s="48"/>
      <c r="O399" s="48"/>
      <c r="P399" s="48"/>
      <c r="Q399" s="48"/>
      <c r="R399" s="48"/>
      <c r="S399" s="48"/>
      <c r="T399" s="48"/>
      <c r="U399" s="48"/>
      <c r="V399" s="48"/>
      <c r="W399" s="48"/>
      <c r="X399" s="48"/>
      <c r="Y399" s="48"/>
      <c r="Z399" s="48"/>
      <c r="AA399" s="48"/>
      <c r="AB399" s="48"/>
      <c r="AC399" s="48"/>
      <c r="AD399" s="48"/>
      <c r="AE399" s="48"/>
      <c r="AF399" s="48"/>
      <c r="AG399" s="48"/>
      <c r="AH399" s="48"/>
      <c r="AI399" s="48"/>
      <c r="AJ399" s="48"/>
      <c r="AK399" s="48"/>
      <c r="AL399" s="48"/>
      <c r="AM399" s="48"/>
      <c r="AN399" s="48"/>
      <c r="AO399" s="48"/>
      <c r="AP399" s="48"/>
      <c r="AQ399" s="48"/>
      <c r="AR399" s="48"/>
      <c r="AS399" s="48"/>
      <c r="AT399" s="48"/>
      <c r="AU399" s="48"/>
      <c r="AV399" s="48"/>
      <c r="AW399" s="48"/>
      <c r="AX399" s="48"/>
      <c r="AY399" s="48"/>
      <c r="AZ399" s="48"/>
      <c r="BA399" s="48"/>
      <c r="BB399" s="48"/>
      <c r="BC399" s="48"/>
      <c r="BD399" s="48"/>
    </row>
    <row r="400" spans="1:56" x14ac:dyDescent="0.25">
      <c r="A400" s="48"/>
      <c r="B400" s="48"/>
      <c r="C400" s="48"/>
      <c r="D400" s="48"/>
      <c r="E400" s="48"/>
      <c r="F400" s="48"/>
      <c r="G400" s="48"/>
      <c r="H400" s="48"/>
      <c r="I400" s="48"/>
      <c r="J400" s="48"/>
      <c r="K400" s="48"/>
      <c r="L400" s="48"/>
      <c r="M400" s="48"/>
      <c r="N400" s="48"/>
      <c r="O400" s="48"/>
      <c r="P400" s="48"/>
      <c r="Q400" s="48"/>
      <c r="R400" s="48"/>
      <c r="S400" s="48"/>
      <c r="T400" s="48"/>
      <c r="U400" s="48"/>
      <c r="V400" s="48"/>
      <c r="W400" s="48"/>
      <c r="X400" s="48"/>
      <c r="Y400" s="48"/>
      <c r="Z400" s="48"/>
      <c r="AA400" s="48"/>
      <c r="AB400" s="48"/>
      <c r="AC400" s="48"/>
      <c r="AD400" s="48"/>
      <c r="AE400" s="48"/>
      <c r="AF400" s="48"/>
      <c r="AG400" s="48"/>
      <c r="AH400" s="48"/>
      <c r="AI400" s="48"/>
      <c r="AJ400" s="48"/>
      <c r="AK400" s="48"/>
      <c r="AL400" s="48"/>
      <c r="AM400" s="48"/>
      <c r="AN400" s="48"/>
      <c r="AO400" s="48"/>
      <c r="AP400" s="48"/>
      <c r="AQ400" s="48"/>
      <c r="AR400" s="48"/>
      <c r="AS400" s="48"/>
      <c r="AT400" s="48"/>
      <c r="AU400" s="48"/>
      <c r="AV400" s="48"/>
      <c r="AW400" s="48"/>
      <c r="AX400" s="48"/>
      <c r="AY400" s="48"/>
      <c r="AZ400" s="48"/>
      <c r="BA400" s="48"/>
      <c r="BB400" s="48"/>
      <c r="BC400" s="48"/>
      <c r="BD400" s="48"/>
    </row>
    <row r="401" spans="1:56" x14ac:dyDescent="0.25">
      <c r="A401" s="48"/>
      <c r="B401" s="48"/>
      <c r="C401" s="48"/>
      <c r="D401" s="48"/>
      <c r="E401" s="48"/>
      <c r="F401" s="48"/>
      <c r="G401" s="48"/>
      <c r="H401" s="48"/>
      <c r="I401" s="48"/>
      <c r="J401" s="48"/>
      <c r="K401" s="48"/>
      <c r="L401" s="48"/>
      <c r="M401" s="48"/>
      <c r="N401" s="48"/>
      <c r="O401" s="48"/>
      <c r="P401" s="48"/>
      <c r="Q401" s="48"/>
      <c r="R401" s="48"/>
      <c r="S401" s="48"/>
      <c r="T401" s="48"/>
      <c r="U401" s="48"/>
      <c r="V401" s="48"/>
      <c r="W401" s="48"/>
      <c r="X401" s="48"/>
      <c r="Y401" s="48"/>
      <c r="Z401" s="48"/>
      <c r="AA401" s="48"/>
      <c r="AB401" s="48"/>
      <c r="AC401" s="48"/>
      <c r="AD401" s="48"/>
      <c r="AE401" s="48"/>
      <c r="AF401" s="48"/>
      <c r="AG401" s="48"/>
      <c r="AH401" s="48"/>
      <c r="AI401" s="48"/>
      <c r="AJ401" s="48"/>
      <c r="AK401" s="48"/>
      <c r="AL401" s="48"/>
      <c r="AM401" s="48"/>
      <c r="AN401" s="48"/>
      <c r="AO401" s="48"/>
      <c r="AP401" s="48"/>
      <c r="AQ401" s="48"/>
      <c r="AR401" s="48"/>
      <c r="AS401" s="48"/>
      <c r="AT401" s="48"/>
      <c r="AU401" s="48"/>
      <c r="AV401" s="48"/>
      <c r="AW401" s="48"/>
      <c r="AX401" s="48"/>
      <c r="AY401" s="48"/>
      <c r="AZ401" s="48"/>
      <c r="BA401" s="48"/>
      <c r="BB401" s="48"/>
      <c r="BC401" s="48"/>
      <c r="BD401" s="48"/>
    </row>
    <row r="402" spans="1:56" x14ac:dyDescent="0.25">
      <c r="A402" s="48"/>
      <c r="B402" s="48"/>
      <c r="C402" s="48"/>
      <c r="D402" s="48"/>
      <c r="E402" s="48"/>
      <c r="F402" s="48"/>
      <c r="G402" s="48"/>
      <c r="H402" s="48"/>
      <c r="I402" s="48"/>
      <c r="J402" s="48"/>
      <c r="K402" s="48"/>
      <c r="L402" s="48"/>
      <c r="M402" s="48"/>
      <c r="N402" s="48"/>
      <c r="O402" s="48"/>
      <c r="P402" s="48"/>
      <c r="Q402" s="48"/>
      <c r="R402" s="48"/>
      <c r="S402" s="48"/>
      <c r="T402" s="48"/>
      <c r="U402" s="48"/>
      <c r="V402" s="48"/>
      <c r="W402" s="48"/>
      <c r="X402" s="48"/>
      <c r="Y402" s="48"/>
      <c r="Z402" s="48"/>
      <c r="AA402" s="48"/>
      <c r="AB402" s="48"/>
      <c r="AC402" s="48"/>
      <c r="AD402" s="48"/>
      <c r="AE402" s="48"/>
      <c r="AF402" s="48"/>
      <c r="AG402" s="48"/>
      <c r="AH402" s="48"/>
      <c r="AI402" s="48"/>
      <c r="AJ402" s="48"/>
      <c r="AK402" s="48"/>
      <c r="AL402" s="48"/>
      <c r="AM402" s="48"/>
      <c r="AN402" s="48"/>
      <c r="AO402" s="48"/>
      <c r="AP402" s="48"/>
      <c r="AQ402" s="48"/>
      <c r="AR402" s="48"/>
      <c r="AS402" s="48"/>
      <c r="AT402" s="48"/>
      <c r="AU402" s="48"/>
      <c r="AV402" s="48"/>
      <c r="AW402" s="48"/>
      <c r="AX402" s="48"/>
      <c r="AY402" s="48"/>
      <c r="AZ402" s="48"/>
      <c r="BA402" s="48"/>
      <c r="BB402" s="48"/>
      <c r="BC402" s="48"/>
      <c r="BD402" s="48"/>
    </row>
    <row r="403" spans="1:56" x14ac:dyDescent="0.25">
      <c r="A403" s="48"/>
      <c r="B403" s="48"/>
      <c r="C403" s="48"/>
      <c r="D403" s="48"/>
      <c r="E403" s="48"/>
      <c r="F403" s="48"/>
      <c r="G403" s="48"/>
      <c r="H403" s="48"/>
      <c r="I403" s="48"/>
      <c r="J403" s="48"/>
      <c r="K403" s="48"/>
      <c r="L403" s="48"/>
      <c r="M403" s="48"/>
      <c r="N403" s="48"/>
      <c r="O403" s="48"/>
      <c r="P403" s="48"/>
      <c r="Q403" s="48"/>
      <c r="R403" s="48"/>
      <c r="S403" s="48"/>
      <c r="T403" s="48"/>
      <c r="U403" s="48"/>
      <c r="V403" s="48"/>
      <c r="W403" s="48"/>
      <c r="X403" s="48"/>
      <c r="Y403" s="48"/>
      <c r="Z403" s="48"/>
      <c r="AA403" s="48"/>
      <c r="AB403" s="48"/>
      <c r="AC403" s="48"/>
      <c r="AD403" s="48"/>
      <c r="AE403" s="48"/>
      <c r="AF403" s="48"/>
      <c r="AG403" s="48"/>
      <c r="AH403" s="48"/>
      <c r="AI403" s="48"/>
      <c r="AJ403" s="48"/>
      <c r="AK403" s="48"/>
      <c r="AL403" s="48"/>
      <c r="AM403" s="48"/>
      <c r="AN403" s="48"/>
      <c r="AO403" s="48"/>
      <c r="AP403" s="48"/>
      <c r="AQ403" s="48"/>
      <c r="AR403" s="48"/>
      <c r="AS403" s="48"/>
      <c r="AT403" s="48"/>
      <c r="AU403" s="48"/>
      <c r="AV403" s="48"/>
      <c r="AW403" s="48"/>
      <c r="AX403" s="48"/>
      <c r="AY403" s="48"/>
      <c r="AZ403" s="48"/>
      <c r="BA403" s="48"/>
      <c r="BB403" s="48"/>
      <c r="BC403" s="48"/>
      <c r="BD403" s="48"/>
    </row>
    <row r="404" spans="1:56" x14ac:dyDescent="0.25">
      <c r="A404" s="48"/>
      <c r="B404" s="48"/>
      <c r="C404" s="48"/>
      <c r="D404" s="48"/>
      <c r="E404" s="48"/>
      <c r="F404" s="48"/>
      <c r="G404" s="48"/>
      <c r="H404" s="48"/>
      <c r="I404" s="48"/>
      <c r="J404" s="48"/>
      <c r="K404" s="48"/>
      <c r="L404" s="48"/>
      <c r="M404" s="48"/>
      <c r="N404" s="48"/>
      <c r="O404" s="48"/>
      <c r="P404" s="48"/>
      <c r="Q404" s="48"/>
      <c r="R404" s="48"/>
      <c r="S404" s="48"/>
      <c r="T404" s="48"/>
      <c r="U404" s="48"/>
      <c r="V404" s="48"/>
      <c r="W404" s="48"/>
      <c r="X404" s="48"/>
      <c r="Y404" s="48"/>
      <c r="Z404" s="48"/>
      <c r="AA404" s="48"/>
      <c r="AB404" s="48"/>
      <c r="AC404" s="48"/>
      <c r="AD404" s="48"/>
      <c r="AE404" s="48"/>
      <c r="AF404" s="48"/>
      <c r="AG404" s="48"/>
      <c r="AH404" s="48"/>
      <c r="AI404" s="48"/>
      <c r="AJ404" s="48"/>
      <c r="AK404" s="48"/>
      <c r="AL404" s="48"/>
      <c r="AM404" s="48"/>
      <c r="AN404" s="48"/>
      <c r="AO404" s="48"/>
      <c r="AP404" s="48"/>
      <c r="AQ404" s="48"/>
      <c r="AR404" s="48"/>
      <c r="AS404" s="48"/>
      <c r="AT404" s="48"/>
      <c r="AU404" s="48"/>
      <c r="AV404" s="48"/>
      <c r="AW404" s="48"/>
      <c r="AX404" s="48"/>
      <c r="AY404" s="48"/>
      <c r="AZ404" s="48"/>
      <c r="BA404" s="48"/>
      <c r="BB404" s="48"/>
      <c r="BC404" s="48"/>
      <c r="BD404" s="48"/>
    </row>
    <row r="405" spans="1:56" x14ac:dyDescent="0.25">
      <c r="A405" s="48"/>
      <c r="B405" s="48"/>
      <c r="C405" s="48"/>
      <c r="D405" s="48"/>
      <c r="E405" s="48"/>
      <c r="F405" s="48"/>
      <c r="G405" s="48"/>
      <c r="H405" s="48"/>
      <c r="I405" s="48"/>
      <c r="J405" s="48"/>
      <c r="K405" s="48"/>
      <c r="L405" s="48"/>
      <c r="M405" s="48"/>
      <c r="N405" s="48"/>
      <c r="O405" s="48"/>
      <c r="P405" s="48"/>
      <c r="Q405" s="48"/>
      <c r="R405" s="48"/>
      <c r="S405" s="48"/>
      <c r="T405" s="48"/>
      <c r="U405" s="48"/>
      <c r="V405" s="48"/>
      <c r="W405" s="48"/>
      <c r="X405" s="48"/>
      <c r="Y405" s="48"/>
      <c r="Z405" s="48"/>
      <c r="AA405" s="48"/>
      <c r="AB405" s="48"/>
      <c r="AC405" s="48"/>
      <c r="AD405" s="48"/>
      <c r="AE405" s="48"/>
      <c r="AF405" s="48"/>
      <c r="AG405" s="48"/>
      <c r="AH405" s="48"/>
      <c r="AI405" s="48"/>
      <c r="AJ405" s="48"/>
      <c r="AK405" s="48"/>
      <c r="AL405" s="48"/>
      <c r="AM405" s="48"/>
      <c r="AN405" s="48"/>
      <c r="AO405" s="48"/>
      <c r="AP405" s="48"/>
      <c r="AQ405" s="48"/>
      <c r="AR405" s="48"/>
      <c r="AS405" s="48"/>
      <c r="AT405" s="48"/>
      <c r="AU405" s="48"/>
      <c r="AV405" s="48"/>
      <c r="AW405" s="48"/>
      <c r="AX405" s="48"/>
      <c r="AY405" s="48"/>
      <c r="AZ405" s="48"/>
      <c r="BA405" s="48"/>
      <c r="BB405" s="48"/>
      <c r="BC405" s="48"/>
      <c r="BD405" s="48"/>
    </row>
    <row r="406" spans="1:56" x14ac:dyDescent="0.25">
      <c r="A406" s="48"/>
      <c r="B406" s="48"/>
      <c r="C406" s="48"/>
      <c r="D406" s="48"/>
      <c r="E406" s="48"/>
      <c r="F406" s="48"/>
      <c r="G406" s="48"/>
      <c r="H406" s="48"/>
      <c r="I406" s="48"/>
      <c r="J406" s="48"/>
      <c r="K406" s="48"/>
      <c r="L406" s="48"/>
      <c r="M406" s="48"/>
      <c r="N406" s="48"/>
      <c r="O406" s="48"/>
      <c r="P406" s="48"/>
      <c r="Q406" s="48"/>
      <c r="R406" s="48"/>
      <c r="S406" s="48"/>
      <c r="T406" s="48"/>
      <c r="U406" s="48"/>
      <c r="V406" s="48"/>
      <c r="W406" s="48"/>
      <c r="X406" s="48"/>
      <c r="Y406" s="48"/>
      <c r="Z406" s="48"/>
      <c r="AA406" s="48"/>
      <c r="AB406" s="48"/>
      <c r="AC406" s="48"/>
      <c r="AD406" s="48"/>
      <c r="AE406" s="48"/>
      <c r="AF406" s="48"/>
      <c r="AG406" s="48"/>
      <c r="AH406" s="48"/>
      <c r="AI406" s="48"/>
      <c r="AJ406" s="48"/>
      <c r="AK406" s="48"/>
      <c r="AL406" s="48"/>
      <c r="AM406" s="48"/>
      <c r="AN406" s="48"/>
      <c r="AO406" s="48"/>
      <c r="AP406" s="48"/>
      <c r="AQ406" s="48"/>
      <c r="AR406" s="48"/>
      <c r="AS406" s="48"/>
      <c r="AT406" s="48"/>
      <c r="AU406" s="48"/>
      <c r="AV406" s="48"/>
      <c r="AW406" s="48"/>
      <c r="AX406" s="48"/>
      <c r="AY406" s="48"/>
      <c r="AZ406" s="48"/>
      <c r="BA406" s="48"/>
      <c r="BB406" s="48"/>
      <c r="BC406" s="48"/>
      <c r="BD406" s="48"/>
    </row>
    <row r="407" spans="1:56" x14ac:dyDescent="0.25">
      <c r="A407" s="48"/>
      <c r="B407" s="48"/>
      <c r="C407" s="48"/>
      <c r="D407" s="48"/>
      <c r="E407" s="48"/>
      <c r="F407" s="48"/>
      <c r="G407" s="48"/>
      <c r="H407" s="48"/>
      <c r="I407" s="48"/>
      <c r="J407" s="48"/>
      <c r="K407" s="48"/>
      <c r="L407" s="48"/>
      <c r="M407" s="48"/>
      <c r="N407" s="48"/>
      <c r="O407" s="48"/>
      <c r="P407" s="48"/>
      <c r="Q407" s="48"/>
      <c r="R407" s="48"/>
      <c r="S407" s="48"/>
      <c r="T407" s="48"/>
      <c r="U407" s="48"/>
      <c r="V407" s="48"/>
      <c r="W407" s="48"/>
      <c r="X407" s="48"/>
      <c r="Y407" s="48"/>
      <c r="Z407" s="48"/>
      <c r="AA407" s="48"/>
      <c r="AB407" s="48"/>
      <c r="AC407" s="48"/>
      <c r="AD407" s="48"/>
      <c r="AE407" s="48"/>
      <c r="AF407" s="48"/>
      <c r="AG407" s="48"/>
      <c r="AH407" s="48"/>
      <c r="AI407" s="48"/>
      <c r="AJ407" s="48"/>
      <c r="AK407" s="48"/>
      <c r="AL407" s="48"/>
      <c r="AM407" s="48"/>
      <c r="AN407" s="48"/>
      <c r="AO407" s="48"/>
      <c r="AP407" s="48"/>
      <c r="AQ407" s="48"/>
      <c r="AR407" s="48"/>
      <c r="AS407" s="48"/>
      <c r="AT407" s="48"/>
      <c r="AU407" s="48"/>
      <c r="AV407" s="48"/>
      <c r="AW407" s="48"/>
      <c r="AX407" s="48"/>
      <c r="AY407" s="48"/>
      <c r="AZ407" s="48"/>
      <c r="BA407" s="48"/>
      <c r="BB407" s="48"/>
      <c r="BC407" s="48"/>
      <c r="BD407" s="48"/>
    </row>
    <row r="408" spans="1:56" x14ac:dyDescent="0.25">
      <c r="A408" s="48"/>
      <c r="B408" s="48"/>
      <c r="C408" s="48"/>
      <c r="D408" s="48"/>
      <c r="E408" s="48"/>
      <c r="F408" s="48"/>
      <c r="G408" s="48"/>
      <c r="H408" s="48"/>
      <c r="I408" s="48"/>
      <c r="J408" s="48"/>
      <c r="K408" s="48"/>
      <c r="L408" s="48"/>
      <c r="M408" s="48"/>
      <c r="N408" s="48"/>
      <c r="O408" s="48"/>
      <c r="P408" s="48"/>
      <c r="Q408" s="48"/>
      <c r="R408" s="48"/>
      <c r="S408" s="48"/>
      <c r="T408" s="48"/>
      <c r="U408" s="48"/>
      <c r="V408" s="48"/>
      <c r="W408" s="48"/>
      <c r="X408" s="48"/>
      <c r="Y408" s="48"/>
      <c r="Z408" s="48"/>
      <c r="AA408" s="48"/>
      <c r="AB408" s="48"/>
      <c r="AC408" s="48"/>
      <c r="AD408" s="48"/>
      <c r="AE408" s="48"/>
      <c r="AF408" s="48"/>
      <c r="AG408" s="48"/>
      <c r="AH408" s="48"/>
      <c r="AI408" s="48"/>
      <c r="AJ408" s="48"/>
      <c r="AK408" s="48"/>
      <c r="AL408" s="48"/>
      <c r="AM408" s="48"/>
      <c r="AN408" s="48"/>
      <c r="AO408" s="48"/>
      <c r="AP408" s="48"/>
      <c r="AQ408" s="48"/>
      <c r="AR408" s="48"/>
      <c r="AS408" s="48"/>
      <c r="AT408" s="48"/>
      <c r="AU408" s="48"/>
      <c r="AV408" s="48"/>
      <c r="AW408" s="48"/>
      <c r="AX408" s="48"/>
      <c r="AY408" s="48"/>
      <c r="AZ408" s="48"/>
      <c r="BA408" s="48"/>
      <c r="BB408" s="48"/>
      <c r="BC408" s="48"/>
      <c r="BD408" s="48"/>
    </row>
    <row r="409" spans="1:56" x14ac:dyDescent="0.25">
      <c r="A409" s="48"/>
      <c r="B409" s="48"/>
      <c r="C409" s="48"/>
      <c r="D409" s="48"/>
      <c r="E409" s="48"/>
      <c r="F409" s="48"/>
      <c r="G409" s="48"/>
      <c r="H409" s="48"/>
      <c r="I409" s="48"/>
      <c r="J409" s="48"/>
      <c r="K409" s="48"/>
      <c r="L409" s="48"/>
      <c r="M409" s="48"/>
      <c r="N409" s="48"/>
      <c r="O409" s="48"/>
      <c r="P409" s="48"/>
      <c r="Q409" s="48"/>
      <c r="R409" s="48"/>
      <c r="S409" s="48"/>
      <c r="T409" s="48"/>
      <c r="U409" s="48"/>
      <c r="V409" s="48"/>
      <c r="W409" s="48"/>
      <c r="X409" s="48"/>
      <c r="Y409" s="48"/>
      <c r="Z409" s="48"/>
      <c r="AA409" s="48"/>
      <c r="AB409" s="48"/>
      <c r="AC409" s="48"/>
      <c r="AD409" s="48"/>
      <c r="AE409" s="48"/>
      <c r="AF409" s="48"/>
      <c r="AG409" s="48"/>
      <c r="AH409" s="48"/>
      <c r="AI409" s="48"/>
      <c r="AJ409" s="48"/>
      <c r="AK409" s="48"/>
      <c r="AL409" s="48"/>
      <c r="AM409" s="48"/>
      <c r="AN409" s="48"/>
      <c r="AO409" s="48"/>
      <c r="AP409" s="48"/>
      <c r="AQ409" s="48"/>
      <c r="AR409" s="48"/>
      <c r="AS409" s="48"/>
      <c r="AT409" s="48"/>
      <c r="AU409" s="48"/>
      <c r="AV409" s="48"/>
      <c r="AW409" s="48"/>
      <c r="AX409" s="48"/>
      <c r="AY409" s="48"/>
      <c r="AZ409" s="48"/>
      <c r="BA409" s="48"/>
      <c r="BB409" s="48"/>
      <c r="BC409" s="48"/>
      <c r="BD409" s="48"/>
    </row>
    <row r="410" spans="1:56" x14ac:dyDescent="0.25">
      <c r="A410" s="48"/>
      <c r="B410" s="48"/>
      <c r="C410" s="48"/>
      <c r="D410" s="48"/>
      <c r="E410" s="48"/>
      <c r="F410" s="48"/>
      <c r="G410" s="48"/>
      <c r="H410" s="48"/>
      <c r="I410" s="48"/>
      <c r="J410" s="48"/>
      <c r="K410" s="48"/>
      <c r="L410" s="48"/>
      <c r="M410" s="48"/>
      <c r="N410" s="48"/>
      <c r="O410" s="48"/>
      <c r="P410" s="48"/>
      <c r="Q410" s="48"/>
      <c r="R410" s="48"/>
      <c r="S410" s="48"/>
      <c r="T410" s="48"/>
      <c r="U410" s="48"/>
      <c r="V410" s="48"/>
      <c r="W410" s="48"/>
      <c r="X410" s="48"/>
      <c r="Y410" s="48"/>
      <c r="Z410" s="48"/>
      <c r="AA410" s="48"/>
      <c r="AB410" s="48"/>
      <c r="AC410" s="48"/>
      <c r="AD410" s="48"/>
      <c r="AE410" s="48"/>
      <c r="AF410" s="48"/>
      <c r="AG410" s="48"/>
      <c r="AH410" s="48"/>
      <c r="AI410" s="48"/>
      <c r="AJ410" s="48"/>
      <c r="AK410" s="48"/>
      <c r="AL410" s="48"/>
      <c r="AM410" s="48"/>
      <c r="AN410" s="48"/>
      <c r="AO410" s="48"/>
      <c r="AP410" s="48"/>
      <c r="AQ410" s="48"/>
      <c r="AR410" s="48"/>
      <c r="AS410" s="48"/>
      <c r="AT410" s="48"/>
      <c r="AU410" s="48"/>
      <c r="AV410" s="48"/>
      <c r="AW410" s="48"/>
      <c r="AX410" s="48"/>
      <c r="AY410" s="48"/>
      <c r="AZ410" s="48"/>
      <c r="BA410" s="48"/>
      <c r="BB410" s="48"/>
      <c r="BC410" s="48"/>
      <c r="BD410" s="48"/>
    </row>
    <row r="411" spans="1:56" x14ac:dyDescent="0.25">
      <c r="A411" s="48"/>
      <c r="B411" s="48"/>
      <c r="C411" s="48"/>
      <c r="D411" s="48"/>
      <c r="E411" s="48"/>
      <c r="F411" s="48"/>
      <c r="G411" s="48"/>
      <c r="H411" s="48"/>
      <c r="I411" s="48"/>
      <c r="J411" s="48"/>
      <c r="K411" s="48"/>
      <c r="L411" s="48"/>
      <c r="M411" s="48"/>
      <c r="N411" s="48"/>
      <c r="O411" s="48"/>
      <c r="P411" s="48"/>
      <c r="Q411" s="48"/>
      <c r="R411" s="48"/>
      <c r="S411" s="48"/>
      <c r="T411" s="48"/>
      <c r="U411" s="48"/>
      <c r="V411" s="48"/>
      <c r="W411" s="48"/>
      <c r="X411" s="48"/>
      <c r="Y411" s="48"/>
      <c r="Z411" s="48"/>
      <c r="AA411" s="48"/>
      <c r="AB411" s="48"/>
      <c r="AC411" s="48"/>
      <c r="AD411" s="48"/>
      <c r="AE411" s="48"/>
      <c r="AF411" s="48"/>
      <c r="AG411" s="48"/>
      <c r="AH411" s="48"/>
      <c r="AI411" s="48"/>
      <c r="AJ411" s="48"/>
      <c r="AK411" s="48"/>
      <c r="AL411" s="48"/>
      <c r="AM411" s="48"/>
      <c r="AN411" s="48"/>
      <c r="AO411" s="48"/>
      <c r="AP411" s="48"/>
      <c r="AQ411" s="48"/>
      <c r="AR411" s="48"/>
      <c r="AS411" s="48"/>
      <c r="AT411" s="48"/>
      <c r="AU411" s="48"/>
      <c r="AV411" s="48"/>
      <c r="AW411" s="48"/>
      <c r="AX411" s="48"/>
      <c r="AY411" s="48"/>
      <c r="AZ411" s="48"/>
      <c r="BA411" s="48"/>
      <c r="BB411" s="48"/>
      <c r="BC411" s="48"/>
      <c r="BD411" s="48"/>
    </row>
    <row r="412" spans="1:56" x14ac:dyDescent="0.25">
      <c r="A412" s="48"/>
      <c r="B412" s="48"/>
      <c r="C412" s="48"/>
      <c r="D412" s="48"/>
      <c r="E412" s="48"/>
      <c r="F412" s="48"/>
      <c r="G412" s="48"/>
      <c r="H412" s="48"/>
      <c r="I412" s="48"/>
      <c r="J412" s="48"/>
      <c r="K412" s="48"/>
      <c r="L412" s="48"/>
      <c r="M412" s="48"/>
      <c r="N412" s="48"/>
      <c r="O412" s="48"/>
      <c r="P412" s="48"/>
      <c r="Q412" s="48"/>
      <c r="R412" s="48"/>
      <c r="S412" s="48"/>
      <c r="T412" s="48"/>
      <c r="U412" s="48"/>
      <c r="V412" s="48"/>
      <c r="W412" s="48"/>
      <c r="X412" s="48"/>
      <c r="Y412" s="48"/>
      <c r="Z412" s="48"/>
      <c r="AA412" s="48"/>
      <c r="AB412" s="48"/>
      <c r="AC412" s="48"/>
      <c r="AD412" s="48"/>
      <c r="AE412" s="48"/>
      <c r="AF412" s="48"/>
      <c r="AG412" s="48"/>
      <c r="AH412" s="48"/>
      <c r="AI412" s="48"/>
      <c r="AJ412" s="48"/>
      <c r="AK412" s="48"/>
      <c r="AL412" s="48"/>
      <c r="AM412" s="48"/>
      <c r="AN412" s="48"/>
      <c r="AO412" s="48"/>
      <c r="AP412" s="48"/>
      <c r="AQ412" s="48"/>
      <c r="AR412" s="48"/>
      <c r="AS412" s="48"/>
      <c r="AT412" s="48"/>
      <c r="AU412" s="48"/>
      <c r="AV412" s="48"/>
      <c r="AW412" s="48"/>
      <c r="AX412" s="48"/>
      <c r="AY412" s="48"/>
      <c r="AZ412" s="48"/>
      <c r="BA412" s="48"/>
      <c r="BB412" s="48"/>
      <c r="BC412" s="48"/>
      <c r="BD412" s="48"/>
    </row>
    <row r="413" spans="1:56" x14ac:dyDescent="0.25">
      <c r="A413" s="48"/>
      <c r="B413" s="48"/>
      <c r="C413" s="48"/>
      <c r="D413" s="48"/>
      <c r="E413" s="48"/>
      <c r="F413" s="48"/>
      <c r="G413" s="48"/>
      <c r="H413" s="48"/>
      <c r="I413" s="48"/>
      <c r="J413" s="48"/>
      <c r="K413" s="48"/>
      <c r="L413" s="48"/>
      <c r="M413" s="48"/>
      <c r="N413" s="48"/>
      <c r="O413" s="48"/>
      <c r="P413" s="48"/>
      <c r="Q413" s="48"/>
      <c r="R413" s="48"/>
      <c r="S413" s="48"/>
      <c r="T413" s="48"/>
      <c r="U413" s="48"/>
      <c r="V413" s="48"/>
      <c r="W413" s="48"/>
      <c r="X413" s="48"/>
      <c r="Y413" s="48"/>
      <c r="Z413" s="48"/>
      <c r="AA413" s="48"/>
      <c r="AB413" s="48"/>
      <c r="AC413" s="48"/>
      <c r="AD413" s="48"/>
      <c r="AE413" s="48"/>
      <c r="AF413" s="48"/>
      <c r="AG413" s="48"/>
      <c r="AH413" s="48"/>
      <c r="AI413" s="48"/>
      <c r="AJ413" s="48"/>
      <c r="AK413" s="48"/>
      <c r="AL413" s="48"/>
      <c r="AM413" s="48"/>
      <c r="AN413" s="48"/>
      <c r="AO413" s="48"/>
      <c r="AP413" s="48"/>
      <c r="AQ413" s="48"/>
      <c r="AR413" s="48"/>
      <c r="AS413" s="48"/>
      <c r="AT413" s="48"/>
      <c r="AU413" s="48"/>
      <c r="AV413" s="48"/>
      <c r="AW413" s="48"/>
      <c r="AX413" s="48"/>
      <c r="AY413" s="48"/>
      <c r="AZ413" s="48"/>
      <c r="BA413" s="48"/>
      <c r="BB413" s="48"/>
      <c r="BC413" s="48"/>
      <c r="BD413" s="48"/>
    </row>
    <row r="414" spans="1:56" x14ac:dyDescent="0.25">
      <c r="A414" s="48"/>
      <c r="B414" s="48"/>
      <c r="C414" s="48"/>
      <c r="D414" s="48"/>
      <c r="E414" s="48"/>
      <c r="F414" s="48"/>
      <c r="G414" s="48"/>
      <c r="H414" s="48"/>
      <c r="I414" s="48"/>
      <c r="J414" s="48"/>
      <c r="K414" s="48"/>
      <c r="L414" s="48"/>
      <c r="M414" s="48"/>
      <c r="N414" s="48"/>
      <c r="O414" s="48"/>
      <c r="P414" s="48"/>
      <c r="Q414" s="48"/>
      <c r="R414" s="48"/>
      <c r="S414" s="48"/>
      <c r="T414" s="48"/>
      <c r="U414" s="48"/>
      <c r="V414" s="48"/>
      <c r="W414" s="48"/>
      <c r="X414" s="48"/>
      <c r="Y414" s="48"/>
      <c r="Z414" s="48"/>
      <c r="AA414" s="48"/>
      <c r="AB414" s="48"/>
      <c r="AC414" s="48"/>
      <c r="AD414" s="48"/>
      <c r="AE414" s="48"/>
      <c r="AF414" s="48"/>
      <c r="AG414" s="48"/>
      <c r="AH414" s="48"/>
      <c r="AI414" s="48"/>
      <c r="AJ414" s="48"/>
      <c r="AK414" s="48"/>
      <c r="AL414" s="48"/>
      <c r="AM414" s="48"/>
      <c r="AN414" s="48"/>
      <c r="AO414" s="48"/>
      <c r="AP414" s="48"/>
      <c r="AQ414" s="48"/>
      <c r="AR414" s="48"/>
      <c r="AS414" s="48"/>
      <c r="AT414" s="48"/>
      <c r="AU414" s="48"/>
      <c r="AV414" s="48"/>
      <c r="AW414" s="48"/>
      <c r="AX414" s="48"/>
      <c r="AY414" s="48"/>
      <c r="AZ414" s="48"/>
      <c r="BA414" s="48"/>
      <c r="BB414" s="48"/>
      <c r="BC414" s="48"/>
      <c r="BD414" s="48"/>
    </row>
    <row r="415" spans="1:56" x14ac:dyDescent="0.25">
      <c r="A415" s="48"/>
      <c r="B415" s="48"/>
      <c r="C415" s="48"/>
      <c r="D415" s="48"/>
      <c r="E415" s="48"/>
      <c r="F415" s="48"/>
      <c r="G415" s="48"/>
      <c r="H415" s="48"/>
      <c r="I415" s="48"/>
      <c r="J415" s="48"/>
      <c r="K415" s="48"/>
      <c r="L415" s="48"/>
      <c r="M415" s="48"/>
      <c r="N415" s="48"/>
      <c r="O415" s="48"/>
      <c r="P415" s="48"/>
      <c r="Q415" s="48"/>
      <c r="R415" s="48"/>
      <c r="S415" s="48"/>
      <c r="T415" s="48"/>
      <c r="U415" s="48"/>
      <c r="V415" s="48"/>
      <c r="W415" s="48"/>
      <c r="X415" s="48"/>
      <c r="Y415" s="48"/>
      <c r="Z415" s="48"/>
      <c r="AA415" s="48"/>
      <c r="AB415" s="48"/>
      <c r="AC415" s="48"/>
      <c r="AD415" s="48"/>
      <c r="AE415" s="48"/>
      <c r="AF415" s="48"/>
      <c r="AG415" s="48"/>
      <c r="AH415" s="48"/>
      <c r="AI415" s="48"/>
      <c r="AJ415" s="48"/>
      <c r="AK415" s="48"/>
      <c r="AL415" s="48"/>
      <c r="AM415" s="48"/>
      <c r="AN415" s="48"/>
      <c r="AO415" s="48"/>
      <c r="AP415" s="48"/>
      <c r="AQ415" s="48"/>
      <c r="AR415" s="48"/>
      <c r="AS415" s="48"/>
      <c r="AT415" s="48"/>
      <c r="AU415" s="48"/>
      <c r="AV415" s="48"/>
      <c r="AW415" s="48"/>
      <c r="AX415" s="48"/>
      <c r="AY415" s="48"/>
      <c r="AZ415" s="48"/>
      <c r="BA415" s="48"/>
      <c r="BB415" s="48"/>
      <c r="BC415" s="48"/>
      <c r="BD415" s="48"/>
    </row>
    <row r="416" spans="1:56" x14ac:dyDescent="0.25">
      <c r="A416" s="48"/>
      <c r="B416" s="48"/>
      <c r="C416" s="48"/>
      <c r="D416" s="48"/>
      <c r="E416" s="48"/>
      <c r="F416" s="48"/>
      <c r="G416" s="48"/>
      <c r="H416" s="48"/>
      <c r="I416" s="48"/>
      <c r="J416" s="48"/>
      <c r="K416" s="48"/>
      <c r="L416" s="48"/>
      <c r="M416" s="48"/>
      <c r="N416" s="48"/>
      <c r="O416" s="48"/>
      <c r="P416" s="48"/>
      <c r="Q416" s="48"/>
      <c r="R416" s="48"/>
      <c r="S416" s="48"/>
      <c r="T416" s="48"/>
      <c r="U416" s="48"/>
      <c r="V416" s="48"/>
      <c r="W416" s="48"/>
      <c r="X416" s="48"/>
      <c r="Y416" s="48"/>
      <c r="Z416" s="48"/>
      <c r="AA416" s="48"/>
      <c r="AB416" s="48"/>
      <c r="AC416" s="48"/>
      <c r="AD416" s="48"/>
      <c r="AE416" s="48"/>
      <c r="AF416" s="48"/>
      <c r="AG416" s="48"/>
      <c r="AH416" s="48"/>
      <c r="AI416" s="48"/>
      <c r="AJ416" s="48"/>
      <c r="AK416" s="48"/>
      <c r="AL416" s="48"/>
      <c r="AM416" s="48"/>
      <c r="AN416" s="48"/>
      <c r="AO416" s="48"/>
      <c r="AP416" s="48"/>
      <c r="AQ416" s="48"/>
      <c r="AR416" s="48"/>
      <c r="AS416" s="48"/>
      <c r="AT416" s="48"/>
      <c r="AU416" s="48"/>
      <c r="AV416" s="48"/>
      <c r="AW416" s="48"/>
      <c r="AX416" s="48"/>
      <c r="AY416" s="48"/>
      <c r="AZ416" s="48"/>
      <c r="BA416" s="48"/>
      <c r="BB416" s="48"/>
      <c r="BC416" s="48"/>
      <c r="BD416" s="48"/>
    </row>
    <row r="417" spans="1:56" x14ac:dyDescent="0.25">
      <c r="A417" s="48"/>
      <c r="B417" s="48"/>
      <c r="C417" s="48"/>
      <c r="D417" s="48"/>
      <c r="E417" s="48"/>
      <c r="F417" s="48"/>
      <c r="G417" s="48"/>
      <c r="H417" s="48"/>
      <c r="I417" s="48"/>
      <c r="J417" s="48"/>
      <c r="K417" s="48"/>
      <c r="L417" s="48"/>
      <c r="M417" s="48"/>
      <c r="N417" s="48"/>
      <c r="O417" s="48"/>
      <c r="P417" s="48"/>
      <c r="Q417" s="48"/>
      <c r="R417" s="48"/>
      <c r="S417" s="48"/>
      <c r="T417" s="48"/>
      <c r="U417" s="48"/>
      <c r="V417" s="48"/>
      <c r="W417" s="48"/>
      <c r="X417" s="48"/>
      <c r="Y417" s="48"/>
      <c r="Z417" s="48"/>
      <c r="AA417" s="48"/>
      <c r="AB417" s="48"/>
      <c r="AC417" s="48"/>
      <c r="AD417" s="48"/>
      <c r="AE417" s="48"/>
      <c r="AF417" s="48"/>
      <c r="AG417" s="48"/>
      <c r="AH417" s="48"/>
      <c r="AI417" s="48"/>
      <c r="AJ417" s="48"/>
      <c r="AK417" s="48"/>
      <c r="AL417" s="48"/>
      <c r="AM417" s="48"/>
      <c r="AN417" s="48"/>
      <c r="AO417" s="48"/>
      <c r="AP417" s="48"/>
      <c r="AQ417" s="48"/>
      <c r="AR417" s="48"/>
      <c r="AS417" s="48"/>
      <c r="AT417" s="48"/>
      <c r="AU417" s="48"/>
      <c r="AV417" s="48"/>
      <c r="AW417" s="48"/>
      <c r="AX417" s="48"/>
      <c r="AY417" s="48"/>
      <c r="AZ417" s="48"/>
      <c r="BA417" s="48"/>
      <c r="BB417" s="48"/>
      <c r="BC417" s="48"/>
      <c r="BD417" s="48"/>
    </row>
    <row r="418" spans="1:56" x14ac:dyDescent="0.25">
      <c r="A418" s="48"/>
      <c r="B418" s="48"/>
      <c r="C418" s="48"/>
      <c r="D418" s="48"/>
      <c r="E418" s="48"/>
      <c r="F418" s="48"/>
      <c r="G418" s="48"/>
      <c r="H418" s="48"/>
      <c r="I418" s="48"/>
      <c r="J418" s="48"/>
      <c r="K418" s="48"/>
      <c r="L418" s="48"/>
      <c r="M418" s="48"/>
      <c r="N418" s="48"/>
      <c r="O418" s="48"/>
      <c r="P418" s="48"/>
      <c r="Q418" s="48"/>
      <c r="R418" s="48"/>
      <c r="S418" s="48"/>
      <c r="T418" s="48"/>
      <c r="U418" s="48"/>
      <c r="V418" s="48"/>
      <c r="W418" s="48"/>
      <c r="X418" s="48"/>
      <c r="Y418" s="48"/>
      <c r="Z418" s="48"/>
      <c r="AA418" s="48"/>
      <c r="AB418" s="48"/>
      <c r="AC418" s="48"/>
      <c r="AD418" s="48"/>
      <c r="AE418" s="48"/>
      <c r="AF418" s="48"/>
      <c r="AG418" s="48"/>
      <c r="AH418" s="48"/>
      <c r="AI418" s="48"/>
      <c r="AJ418" s="48"/>
      <c r="AK418" s="48"/>
      <c r="AL418" s="48"/>
      <c r="AM418" s="48"/>
      <c r="AN418" s="48"/>
      <c r="AO418" s="48"/>
      <c r="AP418" s="48"/>
      <c r="AQ418" s="48"/>
      <c r="AR418" s="48"/>
      <c r="AS418" s="48"/>
      <c r="AT418" s="48"/>
      <c r="AU418" s="48"/>
      <c r="AV418" s="48"/>
      <c r="AW418" s="48"/>
      <c r="AX418" s="48"/>
      <c r="AY418" s="48"/>
      <c r="AZ418" s="48"/>
      <c r="BA418" s="48"/>
      <c r="BB418" s="48"/>
      <c r="BC418" s="48"/>
      <c r="BD418" s="48"/>
    </row>
    <row r="419" spans="1:56" x14ac:dyDescent="0.25">
      <c r="A419" s="48"/>
      <c r="B419" s="48"/>
      <c r="C419" s="48"/>
      <c r="D419" s="48"/>
      <c r="E419" s="48"/>
      <c r="F419" s="48"/>
      <c r="G419" s="48"/>
      <c r="H419" s="48"/>
      <c r="I419" s="48"/>
      <c r="J419" s="48"/>
      <c r="K419" s="48"/>
      <c r="L419" s="48"/>
      <c r="M419" s="48"/>
      <c r="N419" s="48"/>
      <c r="O419" s="48"/>
      <c r="P419" s="48"/>
      <c r="Q419" s="48"/>
      <c r="R419" s="48"/>
      <c r="S419" s="48"/>
      <c r="T419" s="48"/>
      <c r="U419" s="48"/>
      <c r="V419" s="48"/>
      <c r="W419" s="48"/>
      <c r="X419" s="48"/>
      <c r="Y419" s="48"/>
      <c r="Z419" s="48"/>
      <c r="AA419" s="48"/>
      <c r="AB419" s="48"/>
      <c r="AC419" s="48"/>
      <c r="AD419" s="48"/>
      <c r="AE419" s="48"/>
      <c r="AF419" s="48"/>
      <c r="AG419" s="48"/>
      <c r="AH419" s="48"/>
      <c r="AI419" s="48"/>
      <c r="AJ419" s="48"/>
      <c r="AK419" s="48"/>
      <c r="AL419" s="48"/>
      <c r="AM419" s="48"/>
      <c r="AN419" s="48"/>
      <c r="AO419" s="48"/>
      <c r="AP419" s="48"/>
      <c r="AQ419" s="48"/>
      <c r="AR419" s="48"/>
      <c r="AS419" s="48"/>
      <c r="AT419" s="48"/>
      <c r="AU419" s="48"/>
      <c r="AV419" s="48"/>
      <c r="AW419" s="48"/>
      <c r="AX419" s="48"/>
      <c r="AY419" s="48"/>
      <c r="AZ419" s="48"/>
      <c r="BA419" s="48"/>
      <c r="BB419" s="48"/>
      <c r="BC419" s="48"/>
      <c r="BD419" s="48"/>
    </row>
    <row r="420" spans="1:56" x14ac:dyDescent="0.25">
      <c r="A420" s="48"/>
      <c r="B420" s="48"/>
      <c r="C420" s="48"/>
      <c r="D420" s="48"/>
      <c r="E420" s="48"/>
      <c r="F420" s="48"/>
      <c r="G420" s="48"/>
      <c r="H420" s="48"/>
      <c r="I420" s="48"/>
      <c r="J420" s="48"/>
      <c r="K420" s="48"/>
      <c r="L420" s="48"/>
      <c r="M420" s="48"/>
      <c r="N420" s="48"/>
      <c r="O420" s="48"/>
      <c r="P420" s="48"/>
      <c r="Q420" s="48"/>
      <c r="R420" s="48"/>
      <c r="S420" s="48"/>
      <c r="T420" s="48"/>
      <c r="U420" s="48"/>
      <c r="V420" s="48"/>
      <c r="W420" s="48"/>
      <c r="X420" s="48"/>
      <c r="Y420" s="48"/>
      <c r="Z420" s="48"/>
      <c r="AA420" s="48"/>
      <c r="AB420" s="48"/>
      <c r="AC420" s="48"/>
      <c r="AD420" s="48"/>
      <c r="AE420" s="48"/>
      <c r="AF420" s="48"/>
      <c r="AG420" s="48"/>
      <c r="AH420" s="48"/>
      <c r="AI420" s="48"/>
      <c r="AJ420" s="48"/>
      <c r="AK420" s="48"/>
      <c r="AL420" s="48"/>
      <c r="AM420" s="48"/>
      <c r="AN420" s="48"/>
      <c r="AO420" s="48"/>
      <c r="AP420" s="48"/>
      <c r="AQ420" s="48"/>
      <c r="AR420" s="48"/>
      <c r="AS420" s="48"/>
      <c r="AT420" s="48"/>
      <c r="AU420" s="48"/>
      <c r="AV420" s="48"/>
      <c r="AW420" s="48"/>
      <c r="AX420" s="48"/>
      <c r="AY420" s="48"/>
      <c r="AZ420" s="48"/>
      <c r="BA420" s="48"/>
      <c r="BB420" s="48"/>
      <c r="BC420" s="48"/>
      <c r="BD420" s="48"/>
    </row>
    <row r="421" spans="1:56" x14ac:dyDescent="0.25">
      <c r="A421" s="48"/>
      <c r="B421" s="48"/>
      <c r="C421" s="48"/>
      <c r="D421" s="48"/>
      <c r="E421" s="48"/>
      <c r="F421" s="48"/>
      <c r="G421" s="48"/>
      <c r="H421" s="48"/>
      <c r="I421" s="48"/>
      <c r="J421" s="48"/>
      <c r="K421" s="48"/>
      <c r="L421" s="48"/>
      <c r="M421" s="48"/>
      <c r="N421" s="48"/>
      <c r="O421" s="48"/>
      <c r="P421" s="48"/>
      <c r="Q421" s="48"/>
      <c r="R421" s="48"/>
      <c r="S421" s="48"/>
      <c r="T421" s="48"/>
      <c r="U421" s="48"/>
      <c r="V421" s="48"/>
      <c r="W421" s="48"/>
      <c r="X421" s="48"/>
      <c r="Y421" s="48"/>
      <c r="Z421" s="48"/>
      <c r="AA421" s="48"/>
      <c r="AB421" s="48"/>
      <c r="AC421" s="48"/>
      <c r="AD421" s="48"/>
      <c r="AE421" s="48"/>
      <c r="AF421" s="48"/>
      <c r="AG421" s="48"/>
      <c r="AH421" s="48"/>
      <c r="AI421" s="48"/>
      <c r="AJ421" s="48"/>
      <c r="AK421" s="48"/>
      <c r="AL421" s="48"/>
      <c r="AM421" s="48"/>
      <c r="AN421" s="48"/>
      <c r="AO421" s="48"/>
      <c r="AP421" s="48"/>
      <c r="AQ421" s="48"/>
      <c r="AR421" s="48"/>
      <c r="AS421" s="48"/>
      <c r="AT421" s="48"/>
      <c r="AU421" s="48"/>
      <c r="AV421" s="48"/>
      <c r="AW421" s="48"/>
      <c r="AX421" s="48"/>
      <c r="AY421" s="48"/>
      <c r="AZ421" s="48"/>
      <c r="BA421" s="48"/>
      <c r="BB421" s="48"/>
      <c r="BC421" s="48"/>
      <c r="BD421" s="48"/>
    </row>
    <row r="422" spans="1:56" x14ac:dyDescent="0.25">
      <c r="A422" s="48"/>
      <c r="B422" s="48"/>
      <c r="C422" s="48"/>
      <c r="D422" s="48"/>
      <c r="E422" s="48"/>
      <c r="F422" s="48"/>
      <c r="G422" s="48"/>
      <c r="H422" s="48"/>
      <c r="I422" s="48"/>
      <c r="J422" s="48"/>
      <c r="K422" s="48"/>
      <c r="L422" s="48"/>
      <c r="M422" s="48"/>
      <c r="N422" s="48"/>
      <c r="O422" s="48"/>
      <c r="P422" s="48"/>
      <c r="Q422" s="48"/>
      <c r="R422" s="48"/>
      <c r="S422" s="48"/>
      <c r="T422" s="48"/>
      <c r="U422" s="48"/>
      <c r="V422" s="48"/>
      <c r="W422" s="48"/>
      <c r="X422" s="48"/>
      <c r="Y422" s="48"/>
      <c r="Z422" s="48"/>
      <c r="AA422" s="48"/>
      <c r="AB422" s="48"/>
      <c r="AC422" s="48"/>
      <c r="AD422" s="48"/>
      <c r="AE422" s="48"/>
      <c r="AF422" s="48"/>
      <c r="AG422" s="48"/>
      <c r="AH422" s="48"/>
      <c r="AI422" s="48"/>
      <c r="AJ422" s="48"/>
      <c r="AK422" s="48"/>
      <c r="AL422" s="48"/>
      <c r="AM422" s="48"/>
      <c r="AN422" s="48"/>
      <c r="AO422" s="48"/>
      <c r="AP422" s="48"/>
      <c r="AQ422" s="48"/>
      <c r="AR422" s="48"/>
      <c r="AS422" s="48"/>
      <c r="AT422" s="48"/>
      <c r="AU422" s="48"/>
      <c r="AV422" s="48"/>
      <c r="AW422" s="48"/>
      <c r="AX422" s="48"/>
      <c r="AY422" s="48"/>
      <c r="AZ422" s="48"/>
      <c r="BA422" s="48"/>
      <c r="BB422" s="48"/>
      <c r="BC422" s="48"/>
      <c r="BD422" s="48"/>
    </row>
    <row r="423" spans="1:56" x14ac:dyDescent="0.25">
      <c r="A423" s="48"/>
      <c r="B423" s="48"/>
      <c r="C423" s="48"/>
      <c r="D423" s="48"/>
      <c r="E423" s="48"/>
      <c r="F423" s="48"/>
      <c r="G423" s="48"/>
      <c r="H423" s="48"/>
      <c r="I423" s="48"/>
      <c r="J423" s="48"/>
      <c r="K423" s="48"/>
      <c r="L423" s="48"/>
      <c r="M423" s="48"/>
      <c r="N423" s="48"/>
      <c r="O423" s="48"/>
      <c r="P423" s="48"/>
      <c r="Q423" s="48"/>
      <c r="R423" s="48"/>
      <c r="S423" s="48"/>
      <c r="T423" s="48"/>
      <c r="U423" s="48"/>
      <c r="V423" s="48"/>
      <c r="W423" s="48"/>
      <c r="X423" s="48"/>
      <c r="Y423" s="48"/>
      <c r="Z423" s="48"/>
      <c r="AA423" s="48"/>
      <c r="AB423" s="48"/>
      <c r="AC423" s="48"/>
      <c r="AD423" s="48"/>
      <c r="AE423" s="48"/>
      <c r="AF423" s="48"/>
      <c r="AG423" s="48"/>
      <c r="AH423" s="48"/>
      <c r="AI423" s="48"/>
      <c r="AJ423" s="48"/>
      <c r="AK423" s="48"/>
      <c r="AL423" s="48"/>
      <c r="AM423" s="48"/>
      <c r="AN423" s="48"/>
      <c r="AO423" s="48"/>
      <c r="AP423" s="48"/>
      <c r="AQ423" s="48"/>
      <c r="AR423" s="48"/>
      <c r="AS423" s="48"/>
      <c r="AT423" s="48"/>
      <c r="AU423" s="48"/>
      <c r="AV423" s="48"/>
      <c r="AW423" s="48"/>
      <c r="AX423" s="48"/>
      <c r="AY423" s="48"/>
      <c r="AZ423" s="48"/>
      <c r="BA423" s="48"/>
      <c r="BB423" s="48"/>
      <c r="BC423" s="48"/>
      <c r="BD423" s="48"/>
    </row>
    <row r="424" spans="1:56" x14ac:dyDescent="0.25">
      <c r="A424" s="48"/>
      <c r="B424" s="48"/>
      <c r="C424" s="48"/>
      <c r="D424" s="48"/>
      <c r="E424" s="48"/>
      <c r="F424" s="48"/>
      <c r="G424" s="48"/>
      <c r="H424" s="48"/>
      <c r="I424" s="48"/>
      <c r="J424" s="48"/>
      <c r="K424" s="48"/>
      <c r="L424" s="48"/>
      <c r="M424" s="48"/>
      <c r="N424" s="48"/>
      <c r="O424" s="48"/>
      <c r="P424" s="48"/>
      <c r="Q424" s="48"/>
      <c r="R424" s="48"/>
      <c r="S424" s="48"/>
      <c r="T424" s="48"/>
      <c r="U424" s="48"/>
      <c r="V424" s="48"/>
      <c r="W424" s="48"/>
      <c r="X424" s="48"/>
      <c r="Y424" s="48"/>
      <c r="Z424" s="48"/>
      <c r="AA424" s="48"/>
      <c r="AB424" s="48"/>
      <c r="AC424" s="48"/>
      <c r="AD424" s="48"/>
      <c r="AE424" s="48"/>
      <c r="AF424" s="48"/>
      <c r="AG424" s="48"/>
      <c r="AH424" s="48"/>
      <c r="AI424" s="48"/>
      <c r="AJ424" s="48"/>
      <c r="AK424" s="48"/>
      <c r="AL424" s="48"/>
      <c r="AM424" s="48"/>
      <c r="AN424" s="48"/>
      <c r="AO424" s="48"/>
      <c r="AP424" s="48"/>
      <c r="AQ424" s="48"/>
      <c r="AR424" s="48"/>
      <c r="AS424" s="48"/>
      <c r="AT424" s="48"/>
      <c r="AU424" s="48"/>
      <c r="AV424" s="48"/>
      <c r="AW424" s="48"/>
      <c r="AX424" s="48"/>
      <c r="AY424" s="48"/>
      <c r="AZ424" s="48"/>
      <c r="BA424" s="48"/>
      <c r="BB424" s="48"/>
      <c r="BC424" s="48"/>
      <c r="BD424" s="48"/>
    </row>
    <row r="425" spans="1:56" x14ac:dyDescent="0.25">
      <c r="A425" s="48"/>
      <c r="B425" s="48"/>
      <c r="C425" s="48"/>
      <c r="D425" s="48"/>
      <c r="E425" s="48"/>
      <c r="F425" s="48"/>
      <c r="G425" s="48"/>
      <c r="H425" s="48"/>
      <c r="I425" s="48"/>
      <c r="J425" s="48"/>
      <c r="K425" s="48"/>
      <c r="L425" s="48"/>
      <c r="M425" s="48"/>
      <c r="N425" s="48"/>
      <c r="O425" s="48"/>
      <c r="P425" s="48"/>
      <c r="Q425" s="48"/>
      <c r="R425" s="48"/>
      <c r="S425" s="48"/>
      <c r="T425" s="48"/>
      <c r="U425" s="48"/>
      <c r="V425" s="48"/>
      <c r="W425" s="48"/>
      <c r="X425" s="48"/>
      <c r="Y425" s="48"/>
      <c r="Z425" s="48"/>
      <c r="AA425" s="48"/>
      <c r="AB425" s="48"/>
      <c r="AC425" s="48"/>
      <c r="AD425" s="48"/>
      <c r="AE425" s="48"/>
      <c r="AF425" s="48"/>
      <c r="AG425" s="48"/>
      <c r="AH425" s="48"/>
      <c r="AI425" s="48"/>
      <c r="AJ425" s="48"/>
      <c r="AK425" s="48"/>
      <c r="AL425" s="48"/>
      <c r="AM425" s="48"/>
      <c r="AN425" s="48"/>
      <c r="AO425" s="48"/>
      <c r="AP425" s="48"/>
      <c r="AQ425" s="48"/>
      <c r="AR425" s="48"/>
      <c r="AS425" s="48"/>
      <c r="AT425" s="48"/>
      <c r="AU425" s="48"/>
      <c r="AV425" s="48"/>
      <c r="AW425" s="48"/>
      <c r="AX425" s="48"/>
      <c r="AY425" s="48"/>
      <c r="AZ425" s="48"/>
      <c r="BA425" s="48"/>
      <c r="BB425" s="48"/>
      <c r="BC425" s="48"/>
      <c r="BD425" s="48"/>
    </row>
    <row r="426" spans="1:56" x14ac:dyDescent="0.25">
      <c r="A426" s="48"/>
      <c r="B426" s="48"/>
      <c r="C426" s="48"/>
      <c r="D426" s="48"/>
      <c r="E426" s="48"/>
      <c r="F426" s="48"/>
      <c r="G426" s="48"/>
      <c r="H426" s="48"/>
      <c r="I426" s="48"/>
      <c r="J426" s="48"/>
      <c r="K426" s="48"/>
      <c r="L426" s="48"/>
      <c r="M426" s="48"/>
      <c r="N426" s="48"/>
      <c r="O426" s="48"/>
      <c r="P426" s="48"/>
      <c r="Q426" s="48"/>
      <c r="R426" s="48"/>
      <c r="S426" s="48"/>
      <c r="T426" s="48"/>
      <c r="U426" s="48"/>
      <c r="V426" s="48"/>
      <c r="W426" s="48"/>
      <c r="X426" s="48"/>
      <c r="Y426" s="48"/>
      <c r="Z426" s="48"/>
      <c r="AA426" s="48"/>
      <c r="AB426" s="48"/>
      <c r="AC426" s="48"/>
      <c r="AD426" s="48"/>
      <c r="AE426" s="48"/>
      <c r="AF426" s="48"/>
      <c r="AG426" s="48"/>
      <c r="AH426" s="48"/>
      <c r="AI426" s="48"/>
      <c r="AJ426" s="48"/>
      <c r="AK426" s="48"/>
      <c r="AL426" s="48"/>
      <c r="AM426" s="48"/>
      <c r="AN426" s="48"/>
      <c r="AO426" s="48"/>
      <c r="AP426" s="48"/>
      <c r="AQ426" s="48"/>
      <c r="AR426" s="48"/>
      <c r="AS426" s="48"/>
      <c r="AT426" s="48"/>
      <c r="AU426" s="48"/>
      <c r="AV426" s="48"/>
      <c r="AW426" s="48"/>
      <c r="AX426" s="48"/>
      <c r="AY426" s="48"/>
      <c r="AZ426" s="48"/>
      <c r="BA426" s="48"/>
      <c r="BB426" s="48"/>
      <c r="BC426" s="48"/>
      <c r="BD426" s="48"/>
    </row>
    <row r="427" spans="1:56" x14ac:dyDescent="0.25">
      <c r="A427" s="48"/>
      <c r="B427" s="48"/>
      <c r="C427" s="48"/>
      <c r="D427" s="48"/>
      <c r="E427" s="48"/>
      <c r="F427" s="48"/>
      <c r="G427" s="48"/>
      <c r="H427" s="48"/>
      <c r="I427" s="48"/>
      <c r="J427" s="48"/>
      <c r="K427" s="48"/>
      <c r="L427" s="48"/>
      <c r="M427" s="48"/>
      <c r="N427" s="48"/>
      <c r="O427" s="48"/>
      <c r="P427" s="48"/>
      <c r="Q427" s="48"/>
      <c r="R427" s="48"/>
      <c r="S427" s="48"/>
      <c r="T427" s="48"/>
      <c r="U427" s="48"/>
      <c r="V427" s="48"/>
      <c r="W427" s="48"/>
      <c r="X427" s="48"/>
      <c r="Y427" s="48"/>
      <c r="Z427" s="48"/>
      <c r="AA427" s="48"/>
      <c r="AB427" s="48"/>
      <c r="AC427" s="48"/>
      <c r="AD427" s="48"/>
      <c r="AE427" s="48"/>
      <c r="AF427" s="48"/>
      <c r="AG427" s="48"/>
      <c r="AH427" s="48"/>
      <c r="AI427" s="48"/>
      <c r="AJ427" s="48"/>
      <c r="AK427" s="48"/>
      <c r="AL427" s="48"/>
      <c r="AM427" s="48"/>
      <c r="AN427" s="48"/>
      <c r="AO427" s="48"/>
      <c r="AP427" s="48"/>
      <c r="AQ427" s="48"/>
      <c r="AR427" s="48"/>
      <c r="AS427" s="48"/>
      <c r="AT427" s="48"/>
      <c r="AU427" s="48"/>
      <c r="AV427" s="48"/>
      <c r="AW427" s="48"/>
      <c r="AX427" s="48"/>
      <c r="AY427" s="48"/>
      <c r="AZ427" s="48"/>
      <c r="BA427" s="48"/>
      <c r="BB427" s="48"/>
      <c r="BC427" s="48"/>
      <c r="BD427" s="48"/>
    </row>
    <row r="428" spans="1:56" x14ac:dyDescent="0.25">
      <c r="A428" s="48"/>
      <c r="B428" s="48"/>
      <c r="C428" s="48"/>
      <c r="D428" s="48"/>
      <c r="E428" s="48"/>
      <c r="F428" s="48"/>
      <c r="G428" s="48"/>
      <c r="H428" s="48"/>
      <c r="I428" s="48"/>
      <c r="J428" s="48"/>
      <c r="K428" s="48"/>
      <c r="L428" s="48"/>
      <c r="M428" s="48"/>
      <c r="N428" s="48"/>
      <c r="O428" s="48"/>
      <c r="P428" s="48"/>
      <c r="Q428" s="48"/>
      <c r="R428" s="48"/>
      <c r="S428" s="48"/>
      <c r="T428" s="48"/>
      <c r="U428" s="48"/>
      <c r="V428" s="48"/>
      <c r="W428" s="48"/>
      <c r="X428" s="48"/>
      <c r="Y428" s="48"/>
      <c r="Z428" s="48"/>
      <c r="AA428" s="48"/>
      <c r="AB428" s="48"/>
      <c r="AC428" s="48"/>
      <c r="AD428" s="48"/>
      <c r="AE428" s="48"/>
      <c r="AF428" s="48"/>
      <c r="AG428" s="48"/>
      <c r="AH428" s="48"/>
      <c r="AI428" s="48"/>
      <c r="AJ428" s="48"/>
      <c r="AK428" s="48"/>
      <c r="AL428" s="48"/>
      <c r="AM428" s="48"/>
      <c r="AN428" s="48"/>
      <c r="AO428" s="48"/>
      <c r="AP428" s="48"/>
      <c r="AQ428" s="48"/>
      <c r="AR428" s="48"/>
      <c r="AS428" s="48"/>
      <c r="AT428" s="48"/>
      <c r="AU428" s="48"/>
      <c r="AV428" s="48"/>
      <c r="AW428" s="48"/>
      <c r="AX428" s="48"/>
      <c r="AY428" s="48"/>
      <c r="AZ428" s="48"/>
      <c r="BA428" s="48"/>
      <c r="BB428" s="48"/>
      <c r="BC428" s="48"/>
      <c r="BD428" s="48"/>
    </row>
    <row r="429" spans="1:56" x14ac:dyDescent="0.25">
      <c r="A429" s="48"/>
      <c r="B429" s="48"/>
      <c r="C429" s="48"/>
      <c r="D429" s="48"/>
      <c r="E429" s="48"/>
      <c r="F429" s="48"/>
      <c r="G429" s="48"/>
      <c r="H429" s="48"/>
      <c r="I429" s="48"/>
      <c r="J429" s="48"/>
      <c r="K429" s="48"/>
      <c r="L429" s="48"/>
      <c r="M429" s="48"/>
      <c r="N429" s="48"/>
      <c r="O429" s="48"/>
      <c r="P429" s="48"/>
      <c r="Q429" s="48"/>
      <c r="R429" s="48"/>
      <c r="S429" s="48"/>
      <c r="T429" s="48"/>
      <c r="U429" s="48"/>
      <c r="V429" s="48"/>
      <c r="W429" s="48"/>
      <c r="X429" s="48"/>
      <c r="Y429" s="48"/>
      <c r="Z429" s="48"/>
      <c r="AA429" s="48"/>
      <c r="AB429" s="48"/>
      <c r="AC429" s="48"/>
      <c r="AD429" s="48"/>
      <c r="AE429" s="48"/>
      <c r="AF429" s="48"/>
      <c r="AG429" s="48"/>
      <c r="AH429" s="48"/>
      <c r="AI429" s="48"/>
      <c r="AJ429" s="48"/>
      <c r="AK429" s="48"/>
      <c r="AL429" s="48"/>
      <c r="AM429" s="48"/>
      <c r="AN429" s="48"/>
      <c r="AO429" s="48"/>
      <c r="AP429" s="48"/>
      <c r="AQ429" s="48"/>
      <c r="AR429" s="48"/>
      <c r="AS429" s="48"/>
      <c r="AT429" s="48"/>
      <c r="AU429" s="48"/>
      <c r="AV429" s="48"/>
      <c r="AW429" s="48"/>
      <c r="AX429" s="48"/>
      <c r="AY429" s="48"/>
      <c r="AZ429" s="48"/>
      <c r="BA429" s="48"/>
      <c r="BB429" s="48"/>
      <c r="BC429" s="48"/>
      <c r="BD429" s="48"/>
    </row>
    <row r="430" spans="1:56" x14ac:dyDescent="0.25">
      <c r="A430" s="48"/>
      <c r="B430" s="48"/>
      <c r="C430" s="48"/>
      <c r="D430" s="48"/>
      <c r="E430" s="48"/>
      <c r="F430" s="48"/>
      <c r="G430" s="48"/>
      <c r="H430" s="48"/>
      <c r="I430" s="48"/>
      <c r="J430" s="48"/>
      <c r="K430" s="48"/>
      <c r="L430" s="48"/>
      <c r="M430" s="48"/>
      <c r="N430" s="48"/>
      <c r="O430" s="48"/>
      <c r="P430" s="48"/>
      <c r="Q430" s="48"/>
      <c r="R430" s="48"/>
      <c r="S430" s="48"/>
      <c r="T430" s="48"/>
      <c r="U430" s="48"/>
      <c r="V430" s="48"/>
      <c r="W430" s="48"/>
      <c r="X430" s="48"/>
      <c r="Y430" s="48"/>
      <c r="Z430" s="48"/>
      <c r="AA430" s="48"/>
      <c r="AB430" s="48"/>
      <c r="AC430" s="48"/>
      <c r="AD430" s="48"/>
      <c r="AE430" s="48"/>
      <c r="AF430" s="48"/>
      <c r="AG430" s="48"/>
      <c r="AH430" s="48"/>
      <c r="AI430" s="48"/>
      <c r="AJ430" s="48"/>
      <c r="AK430" s="48"/>
      <c r="AL430" s="48"/>
      <c r="AM430" s="48"/>
      <c r="AN430" s="48"/>
      <c r="AO430" s="48"/>
      <c r="AP430" s="48"/>
      <c r="AQ430" s="48"/>
      <c r="AR430" s="48"/>
      <c r="AS430" s="48"/>
      <c r="AT430" s="48"/>
      <c r="AU430" s="48"/>
      <c r="AV430" s="48"/>
      <c r="AW430" s="48"/>
      <c r="AX430" s="48"/>
      <c r="AY430" s="48"/>
      <c r="AZ430" s="48"/>
      <c r="BA430" s="48"/>
      <c r="BB430" s="48"/>
      <c r="BC430" s="48"/>
      <c r="BD430" s="48"/>
    </row>
    <row r="431" spans="1:56" x14ac:dyDescent="0.25">
      <c r="A431" s="48"/>
      <c r="B431" s="48"/>
      <c r="C431" s="48"/>
      <c r="D431" s="48"/>
      <c r="E431" s="48"/>
      <c r="F431" s="48"/>
      <c r="G431" s="48"/>
      <c r="H431" s="48"/>
      <c r="I431" s="48"/>
      <c r="J431" s="48"/>
      <c r="K431" s="48"/>
      <c r="L431" s="48"/>
      <c r="M431" s="48"/>
      <c r="N431" s="48"/>
      <c r="O431" s="48"/>
      <c r="P431" s="48"/>
      <c r="Q431" s="48"/>
      <c r="R431" s="48"/>
      <c r="S431" s="48"/>
      <c r="T431" s="48"/>
      <c r="U431" s="48"/>
      <c r="V431" s="48"/>
      <c r="W431" s="48"/>
      <c r="X431" s="48"/>
      <c r="Y431" s="48"/>
      <c r="Z431" s="48"/>
      <c r="AA431" s="48"/>
      <c r="AB431" s="48"/>
      <c r="AC431" s="48"/>
      <c r="AD431" s="48"/>
      <c r="AE431" s="48"/>
      <c r="AF431" s="48"/>
      <c r="AG431" s="48"/>
      <c r="AH431" s="48"/>
      <c r="AI431" s="48"/>
      <c r="AJ431" s="48"/>
      <c r="AK431" s="48"/>
      <c r="AL431" s="48"/>
      <c r="AM431" s="48"/>
      <c r="AN431" s="48"/>
      <c r="AO431" s="48"/>
      <c r="AP431" s="48"/>
      <c r="AQ431" s="48"/>
      <c r="AR431" s="48"/>
      <c r="AS431" s="48"/>
      <c r="AT431" s="48"/>
      <c r="AU431" s="48"/>
      <c r="AV431" s="48"/>
      <c r="AW431" s="48"/>
      <c r="AX431" s="48"/>
      <c r="AY431" s="48"/>
      <c r="AZ431" s="48"/>
      <c r="BA431" s="48"/>
      <c r="BB431" s="48"/>
      <c r="BC431" s="48"/>
      <c r="BD431" s="48"/>
    </row>
    <row r="432" spans="1:56" x14ac:dyDescent="0.25">
      <c r="A432" s="48"/>
      <c r="B432" s="48"/>
      <c r="C432" s="48"/>
      <c r="D432" s="48"/>
      <c r="E432" s="48"/>
      <c r="F432" s="48"/>
      <c r="G432" s="48"/>
      <c r="H432" s="48"/>
      <c r="I432" s="48"/>
      <c r="J432" s="48"/>
      <c r="K432" s="48"/>
      <c r="L432" s="48"/>
      <c r="M432" s="48"/>
      <c r="N432" s="48"/>
      <c r="O432" s="48"/>
      <c r="P432" s="48"/>
      <c r="Q432" s="48"/>
      <c r="R432" s="48"/>
      <c r="S432" s="48"/>
      <c r="T432" s="48"/>
      <c r="U432" s="48"/>
      <c r="V432" s="48"/>
      <c r="W432" s="48"/>
      <c r="X432" s="48"/>
      <c r="Y432" s="48"/>
      <c r="Z432" s="48"/>
      <c r="AA432" s="48"/>
      <c r="AB432" s="48"/>
      <c r="AC432" s="48"/>
      <c r="AD432" s="48"/>
      <c r="AE432" s="48"/>
      <c r="AF432" s="48"/>
      <c r="AG432" s="48"/>
      <c r="AH432" s="48"/>
      <c r="AI432" s="48"/>
      <c r="AJ432" s="48"/>
      <c r="AK432" s="48"/>
      <c r="AL432" s="48"/>
      <c r="AM432" s="48"/>
      <c r="AN432" s="48"/>
      <c r="AO432" s="48"/>
      <c r="AP432" s="48"/>
      <c r="AQ432" s="48"/>
      <c r="AR432" s="48"/>
      <c r="AS432" s="48"/>
      <c r="AT432" s="48"/>
      <c r="AU432" s="48"/>
      <c r="AV432" s="48"/>
      <c r="AW432" s="48"/>
      <c r="AX432" s="48"/>
      <c r="AY432" s="48"/>
      <c r="AZ432" s="48"/>
      <c r="BA432" s="48"/>
      <c r="BB432" s="48"/>
      <c r="BC432" s="48"/>
      <c r="BD432" s="48"/>
    </row>
    <row r="433" spans="1:56" x14ac:dyDescent="0.25">
      <c r="A433" s="48"/>
      <c r="B433" s="48"/>
      <c r="C433" s="48"/>
      <c r="D433" s="48"/>
      <c r="E433" s="48"/>
      <c r="F433" s="48"/>
      <c r="G433" s="48"/>
      <c r="H433" s="48"/>
      <c r="I433" s="48"/>
      <c r="J433" s="48"/>
      <c r="K433" s="48"/>
      <c r="L433" s="48"/>
      <c r="M433" s="48"/>
      <c r="N433" s="48"/>
      <c r="O433" s="48"/>
      <c r="P433" s="48"/>
      <c r="Q433" s="48"/>
      <c r="R433" s="48"/>
      <c r="S433" s="48"/>
      <c r="T433" s="48"/>
      <c r="U433" s="48"/>
      <c r="V433" s="48"/>
      <c r="W433" s="48"/>
      <c r="X433" s="48"/>
      <c r="Y433" s="48"/>
      <c r="Z433" s="48"/>
      <c r="AA433" s="48"/>
      <c r="AB433" s="48"/>
      <c r="AC433" s="48"/>
      <c r="AD433" s="48"/>
      <c r="AE433" s="48"/>
      <c r="AF433" s="48"/>
      <c r="AG433" s="48"/>
      <c r="AH433" s="48"/>
      <c r="AI433" s="48"/>
      <c r="AJ433" s="48"/>
      <c r="AK433" s="48"/>
      <c r="AL433" s="48"/>
      <c r="AM433" s="48"/>
      <c r="AN433" s="48"/>
      <c r="AO433" s="48"/>
      <c r="AP433" s="48"/>
      <c r="AQ433" s="48"/>
      <c r="AR433" s="48"/>
      <c r="AS433" s="48"/>
      <c r="AT433" s="48"/>
      <c r="AU433" s="48"/>
      <c r="AV433" s="48"/>
      <c r="AW433" s="48"/>
      <c r="AX433" s="48"/>
      <c r="AY433" s="48"/>
      <c r="AZ433" s="48"/>
      <c r="BA433" s="48"/>
      <c r="BB433" s="48"/>
      <c r="BC433" s="48"/>
      <c r="BD433" s="48"/>
    </row>
    <row r="434" spans="1:56" x14ac:dyDescent="0.25">
      <c r="A434" s="48"/>
      <c r="B434" s="48"/>
      <c r="C434" s="48"/>
      <c r="D434" s="48"/>
      <c r="E434" s="48"/>
      <c r="F434" s="48"/>
      <c r="G434" s="48"/>
      <c r="H434" s="48"/>
      <c r="I434" s="48"/>
      <c r="J434" s="48"/>
      <c r="K434" s="48"/>
      <c r="L434" s="48"/>
      <c r="M434" s="48"/>
      <c r="N434" s="48"/>
      <c r="O434" s="48"/>
      <c r="P434" s="48"/>
      <c r="Q434" s="48"/>
      <c r="R434" s="48"/>
      <c r="S434" s="48"/>
      <c r="T434" s="48"/>
      <c r="U434" s="48"/>
      <c r="V434" s="48"/>
      <c r="W434" s="48"/>
      <c r="X434" s="48"/>
      <c r="Y434" s="48"/>
      <c r="Z434" s="48"/>
      <c r="AA434" s="48"/>
      <c r="AB434" s="48"/>
      <c r="AC434" s="48"/>
      <c r="AD434" s="48"/>
      <c r="AE434" s="48"/>
      <c r="AF434" s="48"/>
      <c r="AG434" s="48"/>
      <c r="AH434" s="48"/>
      <c r="AI434" s="48"/>
      <c r="AJ434" s="48"/>
      <c r="AK434" s="48"/>
      <c r="AL434" s="48"/>
      <c r="AM434" s="48"/>
      <c r="AN434" s="48"/>
      <c r="AO434" s="48"/>
      <c r="AP434" s="48"/>
      <c r="AQ434" s="48"/>
      <c r="AR434" s="48"/>
      <c r="AS434" s="48"/>
      <c r="AT434" s="48"/>
      <c r="AU434" s="48"/>
      <c r="AV434" s="48"/>
      <c r="AW434" s="48"/>
      <c r="AX434" s="48"/>
      <c r="AY434" s="48"/>
      <c r="AZ434" s="48"/>
      <c r="BA434" s="48"/>
      <c r="BB434" s="48"/>
      <c r="BC434" s="48"/>
      <c r="BD434" s="48"/>
    </row>
    <row r="435" spans="1:56" x14ac:dyDescent="0.25">
      <c r="A435" s="48"/>
      <c r="B435" s="48"/>
      <c r="C435" s="48"/>
      <c r="D435" s="48"/>
      <c r="E435" s="48"/>
      <c r="F435" s="48"/>
      <c r="G435" s="48"/>
      <c r="H435" s="48"/>
      <c r="I435" s="48"/>
      <c r="J435" s="48"/>
      <c r="K435" s="48"/>
      <c r="L435" s="48"/>
      <c r="M435" s="48"/>
      <c r="N435" s="48"/>
      <c r="O435" s="48"/>
      <c r="P435" s="48"/>
      <c r="Q435" s="48"/>
      <c r="R435" s="48"/>
      <c r="S435" s="48"/>
      <c r="T435" s="48"/>
      <c r="U435" s="48"/>
      <c r="V435" s="48"/>
      <c r="W435" s="48"/>
      <c r="X435" s="48"/>
      <c r="Y435" s="48"/>
      <c r="Z435" s="48"/>
      <c r="AA435" s="48"/>
      <c r="AB435" s="48"/>
      <c r="AC435" s="48"/>
      <c r="AD435" s="48"/>
      <c r="AE435" s="48"/>
      <c r="AF435" s="48"/>
      <c r="AG435" s="48"/>
      <c r="AH435" s="48"/>
      <c r="AI435" s="48"/>
      <c r="AJ435" s="48"/>
      <c r="AK435" s="48"/>
      <c r="AL435" s="48"/>
      <c r="AM435" s="48"/>
      <c r="AN435" s="48"/>
      <c r="AO435" s="48"/>
      <c r="AP435" s="48"/>
      <c r="AQ435" s="48"/>
      <c r="AR435" s="48"/>
      <c r="AS435" s="48"/>
      <c r="AT435" s="48"/>
      <c r="AU435" s="48"/>
      <c r="AV435" s="48"/>
      <c r="AW435" s="48"/>
      <c r="AX435" s="48"/>
      <c r="AY435" s="48"/>
      <c r="AZ435" s="48"/>
      <c r="BA435" s="48"/>
      <c r="BB435" s="48"/>
      <c r="BC435" s="48"/>
      <c r="BD435" s="48"/>
    </row>
    <row r="436" spans="1:56" x14ac:dyDescent="0.25">
      <c r="A436" s="48"/>
      <c r="B436" s="48"/>
      <c r="C436" s="48"/>
      <c r="D436" s="48"/>
      <c r="E436" s="48"/>
      <c r="F436" s="48"/>
      <c r="G436" s="48"/>
      <c r="H436" s="48"/>
      <c r="I436" s="48"/>
      <c r="J436" s="48"/>
      <c r="K436" s="48"/>
      <c r="L436" s="48"/>
      <c r="M436" s="48"/>
      <c r="N436" s="48"/>
      <c r="O436" s="48"/>
      <c r="P436" s="48"/>
      <c r="Q436" s="48"/>
      <c r="R436" s="48"/>
      <c r="S436" s="48"/>
      <c r="T436" s="48"/>
      <c r="U436" s="48"/>
      <c r="V436" s="48"/>
      <c r="W436" s="48"/>
      <c r="X436" s="48"/>
      <c r="Y436" s="48"/>
      <c r="Z436" s="48"/>
      <c r="AA436" s="48"/>
      <c r="AB436" s="48"/>
      <c r="AC436" s="48"/>
      <c r="AD436" s="48"/>
      <c r="AE436" s="48"/>
      <c r="AF436" s="48"/>
      <c r="AG436" s="48"/>
      <c r="AH436" s="48"/>
      <c r="AI436" s="48"/>
      <c r="AJ436" s="48"/>
      <c r="AK436" s="48"/>
      <c r="AL436" s="48"/>
      <c r="AM436" s="48"/>
      <c r="AN436" s="48"/>
      <c r="AO436" s="48"/>
      <c r="AP436" s="48"/>
      <c r="AQ436" s="48"/>
      <c r="AR436" s="48"/>
      <c r="AS436" s="48"/>
      <c r="AT436" s="48"/>
      <c r="AU436" s="48"/>
      <c r="AV436" s="48"/>
      <c r="AW436" s="48"/>
      <c r="AX436" s="48"/>
      <c r="AY436" s="48"/>
      <c r="AZ436" s="48"/>
      <c r="BA436" s="48"/>
      <c r="BB436" s="48"/>
      <c r="BC436" s="48"/>
      <c r="BD436" s="48"/>
    </row>
    <row r="437" spans="1:56" x14ac:dyDescent="0.25">
      <c r="A437" s="48"/>
      <c r="B437" s="48"/>
      <c r="C437" s="48"/>
      <c r="D437" s="48"/>
      <c r="E437" s="48"/>
      <c r="F437" s="48"/>
      <c r="G437" s="48"/>
      <c r="H437" s="48"/>
      <c r="I437" s="48"/>
      <c r="J437" s="48"/>
      <c r="K437" s="48"/>
      <c r="L437" s="48"/>
      <c r="M437" s="48"/>
      <c r="N437" s="48"/>
      <c r="O437" s="48"/>
      <c r="P437" s="48"/>
      <c r="Q437" s="48"/>
      <c r="R437" s="48"/>
      <c r="S437" s="48"/>
      <c r="T437" s="48"/>
      <c r="U437" s="48"/>
      <c r="V437" s="48"/>
      <c r="W437" s="48"/>
      <c r="X437" s="48"/>
      <c r="Y437" s="48"/>
      <c r="Z437" s="48"/>
      <c r="AA437" s="48"/>
      <c r="AB437" s="48"/>
      <c r="AC437" s="48"/>
      <c r="AD437" s="48"/>
      <c r="AE437" s="48"/>
      <c r="AF437" s="48"/>
      <c r="AG437" s="48"/>
      <c r="AH437" s="48"/>
      <c r="AI437" s="48"/>
      <c r="AJ437" s="48"/>
      <c r="AK437" s="48"/>
      <c r="AL437" s="48"/>
      <c r="AM437" s="48"/>
      <c r="AN437" s="48"/>
      <c r="AO437" s="48"/>
      <c r="AP437" s="48"/>
      <c r="AQ437" s="48"/>
      <c r="AR437" s="48"/>
      <c r="AS437" s="48"/>
      <c r="AT437" s="48"/>
      <c r="AU437" s="48"/>
      <c r="AV437" s="48"/>
      <c r="AW437" s="48"/>
      <c r="AX437" s="48"/>
      <c r="AY437" s="48"/>
      <c r="AZ437" s="48"/>
      <c r="BA437" s="48"/>
      <c r="BB437" s="48"/>
      <c r="BC437" s="48"/>
      <c r="BD437" s="48"/>
    </row>
    <row r="438" spans="1:56" x14ac:dyDescent="0.25">
      <c r="A438" s="48"/>
      <c r="B438" s="48"/>
      <c r="C438" s="48"/>
      <c r="D438" s="48"/>
      <c r="E438" s="48"/>
      <c r="F438" s="48"/>
      <c r="G438" s="48"/>
      <c r="H438" s="48"/>
      <c r="I438" s="48"/>
      <c r="J438" s="48"/>
      <c r="K438" s="48"/>
      <c r="L438" s="48"/>
      <c r="M438" s="48"/>
      <c r="N438" s="48"/>
      <c r="O438" s="48"/>
      <c r="P438" s="48"/>
      <c r="Q438" s="48"/>
      <c r="R438" s="48"/>
      <c r="S438" s="48"/>
      <c r="T438" s="48"/>
      <c r="U438" s="48"/>
      <c r="V438" s="48"/>
      <c r="W438" s="48"/>
      <c r="X438" s="48"/>
      <c r="Y438" s="48"/>
      <c r="Z438" s="48"/>
      <c r="AA438" s="48"/>
      <c r="AB438" s="48"/>
      <c r="AC438" s="48"/>
      <c r="AD438" s="48"/>
      <c r="AE438" s="48"/>
      <c r="AF438" s="48"/>
      <c r="AG438" s="48"/>
      <c r="AH438" s="48"/>
      <c r="AI438" s="48"/>
      <c r="AJ438" s="48"/>
      <c r="AK438" s="48"/>
      <c r="AL438" s="48"/>
      <c r="AM438" s="48"/>
      <c r="AN438" s="48"/>
      <c r="AO438" s="48"/>
      <c r="AP438" s="48"/>
      <c r="AQ438" s="48"/>
      <c r="AR438" s="48"/>
      <c r="AS438" s="48"/>
      <c r="AT438" s="48"/>
      <c r="AU438" s="48"/>
      <c r="AV438" s="48"/>
      <c r="AW438" s="48"/>
      <c r="AX438" s="48"/>
      <c r="AY438" s="48"/>
      <c r="AZ438" s="48"/>
      <c r="BA438" s="48"/>
      <c r="BB438" s="48"/>
      <c r="BC438" s="48"/>
      <c r="BD438" s="48"/>
    </row>
    <row r="439" spans="1:56" x14ac:dyDescent="0.25">
      <c r="A439" s="48"/>
      <c r="B439" s="48"/>
      <c r="C439" s="48"/>
      <c r="D439" s="48"/>
      <c r="E439" s="48"/>
      <c r="F439" s="48"/>
      <c r="G439" s="48"/>
      <c r="H439" s="48"/>
      <c r="I439" s="48"/>
      <c r="J439" s="48"/>
      <c r="K439" s="48"/>
      <c r="L439" s="48"/>
      <c r="M439" s="48"/>
      <c r="N439" s="48"/>
      <c r="O439" s="48"/>
      <c r="P439" s="48"/>
      <c r="Q439" s="48"/>
      <c r="R439" s="48"/>
      <c r="S439" s="48"/>
      <c r="T439" s="48"/>
      <c r="U439" s="48"/>
      <c r="V439" s="48"/>
      <c r="W439" s="48"/>
      <c r="X439" s="48"/>
      <c r="Y439" s="48"/>
      <c r="Z439" s="48"/>
      <c r="AA439" s="48"/>
      <c r="AB439" s="48"/>
      <c r="AC439" s="48"/>
      <c r="AD439" s="48"/>
      <c r="AE439" s="48"/>
      <c r="AF439" s="48"/>
      <c r="AG439" s="48"/>
      <c r="AH439" s="48"/>
      <c r="AI439" s="48"/>
      <c r="AJ439" s="48"/>
      <c r="AK439" s="48"/>
      <c r="AL439" s="48"/>
      <c r="AM439" s="48"/>
      <c r="AN439" s="48"/>
      <c r="AO439" s="48"/>
      <c r="AP439" s="48"/>
      <c r="AQ439" s="48"/>
      <c r="AR439" s="48"/>
      <c r="AS439" s="48"/>
      <c r="AT439" s="48"/>
      <c r="AU439" s="48"/>
      <c r="AV439" s="48"/>
      <c r="AW439" s="48"/>
      <c r="AX439" s="48"/>
      <c r="AY439" s="48"/>
      <c r="AZ439" s="48"/>
      <c r="BA439" s="48"/>
      <c r="BB439" s="48"/>
      <c r="BC439" s="48"/>
      <c r="BD439" s="48"/>
    </row>
    <row r="440" spans="1:56" x14ac:dyDescent="0.25">
      <c r="A440" s="48"/>
      <c r="B440" s="48"/>
      <c r="C440" s="48"/>
      <c r="D440" s="48"/>
      <c r="E440" s="48"/>
      <c r="F440" s="48"/>
      <c r="G440" s="48"/>
      <c r="H440" s="48"/>
      <c r="I440" s="48"/>
      <c r="J440" s="48"/>
      <c r="K440" s="48"/>
      <c r="L440" s="48"/>
      <c r="M440" s="48"/>
      <c r="N440" s="48"/>
      <c r="O440" s="48"/>
      <c r="P440" s="48"/>
      <c r="Q440" s="48"/>
      <c r="R440" s="48"/>
      <c r="S440" s="48"/>
      <c r="T440" s="48"/>
      <c r="U440" s="48"/>
      <c r="V440" s="48"/>
      <c r="W440" s="48"/>
      <c r="X440" s="48"/>
      <c r="Y440" s="48"/>
      <c r="Z440" s="48"/>
      <c r="AA440" s="48"/>
      <c r="AB440" s="48"/>
      <c r="AC440" s="48"/>
      <c r="AD440" s="48"/>
      <c r="AE440" s="48"/>
      <c r="AF440" s="48"/>
      <c r="AG440" s="48"/>
      <c r="AH440" s="48"/>
      <c r="AI440" s="48"/>
      <c r="AJ440" s="48"/>
      <c r="AK440" s="48"/>
      <c r="AL440" s="48"/>
      <c r="AM440" s="48"/>
      <c r="AN440" s="48"/>
      <c r="AO440" s="48"/>
      <c r="AP440" s="48"/>
      <c r="AQ440" s="48"/>
      <c r="AR440" s="48"/>
      <c r="AS440" s="48"/>
      <c r="AT440" s="48"/>
      <c r="AU440" s="48"/>
      <c r="AV440" s="48"/>
      <c r="AW440" s="48"/>
      <c r="AX440" s="48"/>
      <c r="AY440" s="48"/>
      <c r="AZ440" s="48"/>
      <c r="BA440" s="48"/>
      <c r="BB440" s="48"/>
      <c r="BC440" s="48"/>
      <c r="BD440" s="48"/>
    </row>
    <row r="441" spans="1:56" x14ac:dyDescent="0.25">
      <c r="A441" s="48"/>
      <c r="B441" s="48"/>
      <c r="C441" s="48"/>
      <c r="D441" s="48"/>
      <c r="E441" s="48"/>
      <c r="F441" s="48"/>
      <c r="G441" s="48"/>
      <c r="H441" s="48"/>
      <c r="I441" s="48"/>
      <c r="J441" s="48"/>
      <c r="K441" s="48"/>
      <c r="L441" s="48"/>
      <c r="M441" s="48"/>
      <c r="N441" s="48"/>
      <c r="O441" s="48"/>
      <c r="P441" s="48"/>
      <c r="Q441" s="48"/>
      <c r="R441" s="48"/>
      <c r="S441" s="48"/>
      <c r="T441" s="48"/>
      <c r="U441" s="48"/>
      <c r="V441" s="48"/>
      <c r="W441" s="48"/>
      <c r="X441" s="48"/>
      <c r="Y441" s="48"/>
      <c r="Z441" s="48"/>
      <c r="AA441" s="48"/>
      <c r="AB441" s="48"/>
      <c r="AC441" s="48"/>
      <c r="AD441" s="48"/>
      <c r="AE441" s="48"/>
      <c r="AF441" s="48"/>
      <c r="AG441" s="48"/>
      <c r="AH441" s="48"/>
      <c r="AI441" s="48"/>
      <c r="AJ441" s="48"/>
      <c r="AK441" s="48"/>
      <c r="AL441" s="48"/>
      <c r="AM441" s="48"/>
      <c r="AN441" s="48"/>
      <c r="AO441" s="48"/>
      <c r="AP441" s="48"/>
      <c r="AQ441" s="48"/>
      <c r="AR441" s="48"/>
      <c r="AS441" s="48"/>
      <c r="AT441" s="48"/>
      <c r="AU441" s="48"/>
      <c r="AV441" s="48"/>
      <c r="AW441" s="48"/>
      <c r="AX441" s="48"/>
      <c r="AY441" s="48"/>
      <c r="AZ441" s="48"/>
      <c r="BA441" s="48"/>
      <c r="BB441" s="48"/>
      <c r="BC441" s="48"/>
      <c r="BD441" s="48"/>
    </row>
    <row r="442" spans="1:56" x14ac:dyDescent="0.25">
      <c r="A442" s="48"/>
      <c r="B442" s="48"/>
      <c r="C442" s="48"/>
      <c r="D442" s="48"/>
      <c r="E442" s="48"/>
      <c r="F442" s="48"/>
      <c r="G442" s="48"/>
      <c r="H442" s="48"/>
      <c r="I442" s="48"/>
      <c r="J442" s="48"/>
      <c r="K442" s="48"/>
      <c r="L442" s="48"/>
      <c r="M442" s="48"/>
      <c r="N442" s="48"/>
      <c r="O442" s="48"/>
      <c r="P442" s="48"/>
      <c r="Q442" s="48"/>
      <c r="R442" s="48"/>
      <c r="S442" s="48"/>
      <c r="T442" s="48"/>
      <c r="U442" s="48"/>
      <c r="V442" s="48"/>
      <c r="W442" s="48"/>
      <c r="X442" s="48"/>
      <c r="Y442" s="48"/>
      <c r="Z442" s="48"/>
      <c r="AA442" s="48"/>
      <c r="AB442" s="48"/>
      <c r="AC442" s="48"/>
      <c r="AD442" s="48"/>
      <c r="AE442" s="48"/>
      <c r="AF442" s="48"/>
      <c r="AG442" s="48"/>
      <c r="AH442" s="48"/>
      <c r="AI442" s="48"/>
      <c r="AJ442" s="48"/>
      <c r="AK442" s="48"/>
      <c r="AL442" s="48"/>
      <c r="AM442" s="48"/>
      <c r="AN442" s="48"/>
      <c r="AO442" s="48"/>
      <c r="AP442" s="48"/>
      <c r="AQ442" s="48"/>
      <c r="AR442" s="48"/>
      <c r="AS442" s="48"/>
      <c r="AT442" s="48"/>
      <c r="AU442" s="48"/>
      <c r="AV442" s="48"/>
      <c r="AW442" s="48"/>
      <c r="AX442" s="48"/>
      <c r="AY442" s="48"/>
      <c r="AZ442" s="48"/>
      <c r="BA442" s="48"/>
      <c r="BB442" s="48"/>
      <c r="BC442" s="48"/>
      <c r="BD442" s="48"/>
    </row>
    <row r="443" spans="1:56" x14ac:dyDescent="0.25">
      <c r="A443" s="48"/>
      <c r="B443" s="48"/>
      <c r="C443" s="48"/>
      <c r="D443" s="48"/>
      <c r="E443" s="48"/>
      <c r="F443" s="48"/>
      <c r="G443" s="48"/>
      <c r="H443" s="48"/>
      <c r="I443" s="48"/>
      <c r="J443" s="48"/>
      <c r="K443" s="48"/>
      <c r="L443" s="48"/>
      <c r="M443" s="48"/>
      <c r="N443" s="48"/>
      <c r="O443" s="48"/>
      <c r="P443" s="48"/>
      <c r="Q443" s="48"/>
      <c r="R443" s="48"/>
      <c r="S443" s="48"/>
      <c r="T443" s="48"/>
      <c r="U443" s="48"/>
      <c r="V443" s="48"/>
      <c r="W443" s="48"/>
      <c r="X443" s="48"/>
      <c r="Y443" s="48"/>
      <c r="Z443" s="48"/>
      <c r="AA443" s="48"/>
      <c r="AB443" s="48"/>
      <c r="AC443" s="48"/>
      <c r="AD443" s="48"/>
      <c r="AE443" s="48"/>
      <c r="AF443" s="48"/>
      <c r="AG443" s="48"/>
      <c r="AH443" s="48"/>
      <c r="AI443" s="48"/>
      <c r="AJ443" s="48"/>
      <c r="AK443" s="48"/>
      <c r="AL443" s="48"/>
      <c r="AM443" s="48"/>
      <c r="AN443" s="48"/>
      <c r="AO443" s="48"/>
      <c r="AP443" s="48"/>
      <c r="AQ443" s="48"/>
      <c r="AR443" s="48"/>
      <c r="AS443" s="48"/>
      <c r="AT443" s="48"/>
      <c r="AU443" s="48"/>
      <c r="AV443" s="48"/>
      <c r="AW443" s="48"/>
      <c r="AX443" s="48"/>
      <c r="AY443" s="48"/>
      <c r="AZ443" s="48"/>
      <c r="BA443" s="48"/>
      <c r="BB443" s="48"/>
      <c r="BC443" s="48"/>
      <c r="BD443" s="48"/>
    </row>
    <row r="444" spans="1:56" x14ac:dyDescent="0.25">
      <c r="O444" s="48"/>
      <c r="P444" s="48"/>
      <c r="Q444" s="48"/>
      <c r="X444" s="48"/>
      <c r="Y444" s="48"/>
      <c r="Z444" s="48"/>
    </row>
    <row r="445" spans="1:56" x14ac:dyDescent="0.25">
      <c r="O445" s="48"/>
    </row>
  </sheetData>
  <sheetProtection algorithmName="SHA-512" hashValue="JVSZ3NoYNuW1Xk4Yzu0hOb8rxnu8BCOnNqDmt2fs0RS9zelfeklzIQRyxIiX/nsWOxNfkn5AZUlLh+SIu09bXQ==" saltValue="y2YlnkJ9ljPOzpZ1e2pqig==" spinCount="100000" sheet="1" selectLockedCells="1" selectUnlockedCells="1"/>
  <mergeCells count="16">
    <mergeCell ref="AB53:AC53"/>
    <mergeCell ref="O53:S53"/>
    <mergeCell ref="X53:Y53"/>
    <mergeCell ref="P4:Q4"/>
    <mergeCell ref="Z3:AA3"/>
    <mergeCell ref="AC3:AG3"/>
    <mergeCell ref="P3:S3"/>
    <mergeCell ref="T3:U3"/>
    <mergeCell ref="W3:X3"/>
    <mergeCell ref="Z9:AA9"/>
    <mergeCell ref="X27:Z27"/>
    <mergeCell ref="O47:R47"/>
    <mergeCell ref="P20:Q20"/>
    <mergeCell ref="P21:Q21"/>
    <mergeCell ref="Z53:AA53"/>
    <mergeCell ref="AC50:AC51"/>
  </mergeCells>
  <dataValidations count="1">
    <dataValidation type="list" allowBlank="1" showInputMessage="1" showErrorMessage="1" sqref="P3:P4 P23:P25" xr:uid="{C82DA723-DB85-45AB-931E-206D802E4F46}">
      <formula1>WP</formula1>
    </dataValidation>
  </dataValidations>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A9D930-C25A-46BB-B378-61E2D79D8F16}">
  <dimension ref="A1:AJ300"/>
  <sheetViews>
    <sheetView workbookViewId="0">
      <selection activeCell="D2" sqref="D2"/>
    </sheetView>
  </sheetViews>
  <sheetFormatPr defaultRowHeight="15" x14ac:dyDescent="0.25"/>
  <cols>
    <col min="1" max="1" width="30.42578125" bestFit="1" customWidth="1"/>
  </cols>
  <sheetData>
    <row r="1" spans="1:35" ht="15.75" x14ac:dyDescent="0.25">
      <c r="A1" s="1458" t="s">
        <v>233</v>
      </c>
      <c r="B1" s="1458"/>
      <c r="C1" s="1458"/>
      <c r="D1" s="1458"/>
      <c r="E1" s="1458"/>
      <c r="F1" s="1458"/>
      <c r="G1" s="1458"/>
      <c r="H1" s="1458"/>
      <c r="I1" s="1458"/>
      <c r="J1" s="1458"/>
      <c r="K1" s="1458"/>
      <c r="L1" s="1458"/>
      <c r="M1" s="1458"/>
      <c r="N1" s="1458"/>
      <c r="O1" s="1458"/>
      <c r="P1" s="1458"/>
      <c r="Q1" s="1458"/>
    </row>
    <row r="2" spans="1:35" x14ac:dyDescent="0.25">
      <c r="A2" s="383"/>
      <c r="B2" s="383"/>
      <c r="C2" s="383"/>
      <c r="D2" s="383"/>
      <c r="E2" s="383"/>
      <c r="F2" s="383"/>
      <c r="G2" s="383"/>
      <c r="H2" s="383"/>
      <c r="I2" s="383"/>
      <c r="J2" s="383"/>
      <c r="K2" s="383"/>
      <c r="L2" s="383"/>
      <c r="M2" s="383"/>
      <c r="N2" s="383"/>
      <c r="O2" s="383"/>
      <c r="P2" s="383"/>
      <c r="Q2" s="383"/>
    </row>
    <row r="3" spans="1:35" x14ac:dyDescent="0.25">
      <c r="A3" s="1456" t="s">
        <v>75</v>
      </c>
      <c r="B3" s="1457"/>
      <c r="C3" s="1457"/>
      <c r="D3" s="1457"/>
      <c r="E3" s="1457"/>
      <c r="F3" s="1457"/>
      <c r="G3" s="1457"/>
      <c r="H3" s="1457"/>
      <c r="I3" s="1457"/>
      <c r="J3" s="1457"/>
      <c r="K3" s="1457"/>
      <c r="L3" s="1457"/>
      <c r="M3" s="1457"/>
      <c r="N3" s="1457"/>
      <c r="O3" s="1457"/>
      <c r="P3" s="1457"/>
      <c r="Q3" s="1457"/>
    </row>
    <row r="4" spans="1:35" x14ac:dyDescent="0.25">
      <c r="A4" s="332"/>
      <c r="B4" s="465">
        <v>1</v>
      </c>
      <c r="C4" s="465">
        <v>2</v>
      </c>
      <c r="D4" s="465">
        <v>3</v>
      </c>
      <c r="E4" s="465">
        <v>4</v>
      </c>
      <c r="F4" s="465">
        <v>5</v>
      </c>
      <c r="G4" s="465">
        <v>6</v>
      </c>
      <c r="H4" s="465">
        <v>7</v>
      </c>
      <c r="I4" s="465">
        <v>8</v>
      </c>
      <c r="J4" s="465">
        <v>9</v>
      </c>
      <c r="K4" s="465">
        <v>10</v>
      </c>
      <c r="L4" s="465">
        <v>11</v>
      </c>
      <c r="M4" s="465">
        <v>12</v>
      </c>
      <c r="N4" s="465">
        <v>13</v>
      </c>
      <c r="O4" s="465">
        <v>14</v>
      </c>
      <c r="P4" s="465">
        <v>15</v>
      </c>
      <c r="Q4" s="465" t="s">
        <v>176</v>
      </c>
    </row>
    <row r="5" spans="1:35" ht="15.75" x14ac:dyDescent="0.25">
      <c r="A5" s="466" t="s">
        <v>444</v>
      </c>
      <c r="B5" s="332"/>
      <c r="C5" s="332">
        <f>IF(COUNTIF(skill_select, A25)&gt;0, HLOOKUP(calc_lev-(VLOOKUP(A25, wp_search, 10, FALSE))+1, target_bonus, 2)+1, 1)</f>
        <v>1</v>
      </c>
      <c r="D5" s="332">
        <f>IF(COUNTIF(skill_select, A25)&gt;0, HLOOKUP(calc_lev-(VLOOKUP(A25, wp_search, 10, FALSE))+1, target_bonus, 2)+1, 1)</f>
        <v>1</v>
      </c>
      <c r="E5" s="332">
        <f>IF(COUNTIF(skill_select, A25)&gt;0, HLOOKUP(calc_lev-(VLOOKUP(A25, wp_search, 10, FALSE))+1, target_bonus, 2)+2, 2)</f>
        <v>2</v>
      </c>
      <c r="F5" s="332">
        <f>IF(COUNTIF(skill_select, A25)&gt;0, HLOOKUP(calc_lev-(VLOOKUP(A25, wp_search, 10, FALSE))+1, target_bonus, 2)+2, 2)</f>
        <v>2</v>
      </c>
      <c r="G5" s="332">
        <f>IF(COUNTIF(skill_select, A25)&gt;0, HLOOKUP(calc_lev-(VLOOKUP(A25, wp_search, 10, FALSE))+1, target_bonus, 2)+3, 3)</f>
        <v>3</v>
      </c>
      <c r="H5" s="332">
        <f>IF(COUNTIF(skill_select, A25)&gt;0, HLOOKUP(calc_lev-(VLOOKUP(A25, wp_search, 10, FALSE))+1, target_bonus, 2)+3, 3)</f>
        <v>3</v>
      </c>
      <c r="I5" s="332">
        <f>IF(COUNTIF(skill_select, A25)&gt;0, HLOOKUP(calc_lev-(VLOOKUP(A25, wp_search, 10, FALSE))+1, target_bonus, 2)+4, 4)</f>
        <v>4</v>
      </c>
      <c r="J5" s="332">
        <f>IF(COUNTIF(skill_select, A25)&gt;0, HLOOKUP(calc_lev-(VLOOKUP(A25, wp_search, 10, FALSE))+1, target_bonus, 2)+4, 4)</f>
        <v>4</v>
      </c>
      <c r="K5" s="332">
        <f>IF(COUNTIF(skill_select, A25)&gt;0, HLOOKUP(calc_lev-(VLOOKUP(A25, wp_search, 10, FALSE))+1, target_bonus, 2)+4, 4)</f>
        <v>4</v>
      </c>
      <c r="L5" s="332">
        <f>IF(COUNTIF(skill_select, A25)&gt;0, HLOOKUP(calc_lev-(VLOOKUP(A25, wp_search, 10, FALSE))+1, target_bonus, 2)+5, 5)</f>
        <v>5</v>
      </c>
      <c r="M5" s="332">
        <f>IF(COUNTIF(skill_select, A25)&gt;0, HLOOKUP(calc_lev-(VLOOKUP(A25, wp_search, 10, FALSE))+1, target_bonus, 2)+5, 5)</f>
        <v>5</v>
      </c>
      <c r="N5" s="332">
        <f>IF(COUNTIF(skill_select, A25)&gt;0, HLOOKUP(calc_lev-(VLOOKUP(A25, wp_search, 10, FALSE))+1, target_bonus, 2)+5, 5)</f>
        <v>5</v>
      </c>
      <c r="O5" s="332">
        <f>IF(COUNTIF(skill_select, A25)&gt;0, HLOOKUP(calc_lev-(VLOOKUP(A25, wp_search, 10, FALSE))+1, target_bonus, 2)+6, 6)</f>
        <v>6</v>
      </c>
      <c r="P5" s="332">
        <f>IF(COUNTIF(skill_select, A25)&gt;0, HLOOKUP(calc_lev-(VLOOKUP(A25, wp_search, 10, FALSE))+1, target_bonus, 2)+6, 6)</f>
        <v>6</v>
      </c>
      <c r="Q5" s="332" t="s">
        <v>681</v>
      </c>
    </row>
    <row r="6" spans="1:35" ht="15.75" x14ac:dyDescent="0.25">
      <c r="A6" s="466" t="s">
        <v>446</v>
      </c>
      <c r="B6" s="332">
        <v>1</v>
      </c>
      <c r="C6" s="332">
        <v>1</v>
      </c>
      <c r="D6" s="332">
        <v>2</v>
      </c>
      <c r="E6" s="332">
        <v>2</v>
      </c>
      <c r="F6" s="332">
        <v>2</v>
      </c>
      <c r="G6" s="332">
        <v>3</v>
      </c>
      <c r="H6" s="332">
        <v>3</v>
      </c>
      <c r="I6" s="332">
        <v>3</v>
      </c>
      <c r="J6" s="332">
        <v>4</v>
      </c>
      <c r="K6" s="332">
        <v>4</v>
      </c>
      <c r="L6" s="332">
        <v>4</v>
      </c>
      <c r="M6" s="332">
        <v>5</v>
      </c>
      <c r="N6" s="332">
        <v>5</v>
      </c>
      <c r="O6" s="332">
        <v>5</v>
      </c>
      <c r="P6" s="332">
        <v>5</v>
      </c>
      <c r="Q6" s="332" t="s">
        <v>683</v>
      </c>
    </row>
    <row r="7" spans="1:35" ht="15.75" x14ac:dyDescent="0.25">
      <c r="A7" s="466" t="s">
        <v>447</v>
      </c>
      <c r="B7" s="332">
        <v>1</v>
      </c>
      <c r="C7" s="332">
        <v>1</v>
      </c>
      <c r="D7" s="332">
        <v>2</v>
      </c>
      <c r="E7" s="332">
        <v>2</v>
      </c>
      <c r="F7" s="332">
        <v>2</v>
      </c>
      <c r="G7" s="332">
        <v>3</v>
      </c>
      <c r="H7" s="332">
        <v>3</v>
      </c>
      <c r="I7" s="332">
        <v>3</v>
      </c>
      <c r="J7" s="332">
        <v>4</v>
      </c>
      <c r="K7" s="332">
        <v>4</v>
      </c>
      <c r="L7" s="332">
        <v>4</v>
      </c>
      <c r="M7" s="332">
        <v>5</v>
      </c>
      <c r="N7" s="332">
        <v>5</v>
      </c>
      <c r="O7" s="332">
        <v>5</v>
      </c>
      <c r="P7" s="332">
        <v>5</v>
      </c>
      <c r="Q7" s="332" t="s">
        <v>683</v>
      </c>
    </row>
    <row r="8" spans="1:35" ht="15.75" x14ac:dyDescent="0.25">
      <c r="A8" s="466" t="s">
        <v>448</v>
      </c>
      <c r="B8" s="332"/>
      <c r="C8" s="332">
        <v>1</v>
      </c>
      <c r="D8" s="332">
        <v>1</v>
      </c>
      <c r="E8" s="332">
        <v>1</v>
      </c>
      <c r="F8" s="332">
        <v>2</v>
      </c>
      <c r="G8" s="332">
        <v>2</v>
      </c>
      <c r="H8" s="332">
        <v>2</v>
      </c>
      <c r="I8" s="332">
        <v>2</v>
      </c>
      <c r="J8" s="332">
        <v>2</v>
      </c>
      <c r="K8" s="332">
        <v>3</v>
      </c>
      <c r="L8" s="332">
        <v>3</v>
      </c>
      <c r="M8" s="332">
        <v>3</v>
      </c>
      <c r="N8" s="332">
        <v>3</v>
      </c>
      <c r="O8" s="332">
        <v>3</v>
      </c>
      <c r="P8" s="332">
        <v>4</v>
      </c>
      <c r="Q8" s="332" t="s">
        <v>681</v>
      </c>
    </row>
    <row r="9" spans="1:35" ht="15.75" x14ac:dyDescent="0.25">
      <c r="A9" s="466" t="s">
        <v>449</v>
      </c>
      <c r="B9" s="332">
        <v>1</v>
      </c>
      <c r="C9" s="332">
        <v>1</v>
      </c>
      <c r="D9" s="332">
        <v>2</v>
      </c>
      <c r="E9" s="332">
        <v>2</v>
      </c>
      <c r="F9" s="332">
        <v>2</v>
      </c>
      <c r="G9" s="332">
        <v>2</v>
      </c>
      <c r="H9" s="332">
        <v>3</v>
      </c>
      <c r="I9" s="332">
        <v>3</v>
      </c>
      <c r="J9" s="332">
        <v>3</v>
      </c>
      <c r="K9" s="332">
        <v>4</v>
      </c>
      <c r="L9" s="332">
        <v>4</v>
      </c>
      <c r="M9" s="332">
        <v>4</v>
      </c>
      <c r="N9" s="332">
        <v>5</v>
      </c>
      <c r="O9" s="332">
        <v>5</v>
      </c>
      <c r="P9" s="332">
        <v>5</v>
      </c>
      <c r="Q9" s="332" t="s">
        <v>683</v>
      </c>
    </row>
    <row r="10" spans="1:35" ht="15.75" x14ac:dyDescent="0.25">
      <c r="A10" s="466" t="s">
        <v>450</v>
      </c>
      <c r="B10" s="332">
        <v>1</v>
      </c>
      <c r="C10" s="332">
        <v>1</v>
      </c>
      <c r="D10" s="332">
        <v>2</v>
      </c>
      <c r="E10" s="332">
        <v>2</v>
      </c>
      <c r="F10" s="332">
        <v>3</v>
      </c>
      <c r="G10" s="332">
        <v>3</v>
      </c>
      <c r="H10" s="332">
        <v>3</v>
      </c>
      <c r="I10" s="332">
        <v>4</v>
      </c>
      <c r="J10" s="332">
        <v>4</v>
      </c>
      <c r="K10" s="332">
        <v>4</v>
      </c>
      <c r="L10" s="332">
        <v>5</v>
      </c>
      <c r="M10" s="332">
        <v>5</v>
      </c>
      <c r="N10" s="332">
        <v>6</v>
      </c>
      <c r="O10" s="332">
        <v>6</v>
      </c>
      <c r="P10" s="332">
        <v>6</v>
      </c>
      <c r="Q10" s="332" t="s">
        <v>683</v>
      </c>
    </row>
    <row r="11" spans="1:35" ht="15.75" x14ac:dyDescent="0.25">
      <c r="A11" s="466" t="s">
        <v>451</v>
      </c>
      <c r="B11" s="332"/>
      <c r="C11" s="332"/>
      <c r="D11" s="332">
        <v>1</v>
      </c>
      <c r="E11" s="332">
        <v>1</v>
      </c>
      <c r="F11" s="332">
        <v>1</v>
      </c>
      <c r="G11" s="332">
        <v>2</v>
      </c>
      <c r="H11" s="332">
        <v>2</v>
      </c>
      <c r="I11" s="332">
        <v>2</v>
      </c>
      <c r="J11" s="332">
        <v>3</v>
      </c>
      <c r="K11" s="332">
        <v>3</v>
      </c>
      <c r="L11" s="332">
        <v>3</v>
      </c>
      <c r="M11" s="332">
        <v>4</v>
      </c>
      <c r="N11" s="332">
        <v>4</v>
      </c>
      <c r="O11" s="332">
        <v>4</v>
      </c>
      <c r="P11" s="332">
        <v>4</v>
      </c>
      <c r="Q11" s="332" t="s">
        <v>683</v>
      </c>
    </row>
    <row r="12" spans="1:35" ht="15.75" x14ac:dyDescent="0.25">
      <c r="A12" s="466" t="s">
        <v>452</v>
      </c>
      <c r="B12" s="332">
        <v>1</v>
      </c>
      <c r="C12" s="332">
        <v>1</v>
      </c>
      <c r="D12" s="332">
        <v>1</v>
      </c>
      <c r="E12" s="332">
        <v>2</v>
      </c>
      <c r="F12" s="332">
        <v>2</v>
      </c>
      <c r="G12" s="332">
        <v>2</v>
      </c>
      <c r="H12" s="332">
        <v>3</v>
      </c>
      <c r="I12" s="332">
        <v>3</v>
      </c>
      <c r="J12" s="332">
        <v>3</v>
      </c>
      <c r="K12" s="332">
        <v>4</v>
      </c>
      <c r="L12" s="332">
        <v>4</v>
      </c>
      <c r="M12" s="332">
        <v>4</v>
      </c>
      <c r="N12" s="332">
        <v>5</v>
      </c>
      <c r="O12" s="332">
        <v>5</v>
      </c>
      <c r="P12" s="332">
        <v>5</v>
      </c>
      <c r="Q12" s="332" t="s">
        <v>681</v>
      </c>
    </row>
    <row r="13" spans="1:35" ht="15.75" x14ac:dyDescent="0.25">
      <c r="A13" s="466" t="s">
        <v>657</v>
      </c>
      <c r="B13" s="332"/>
      <c r="C13" s="332"/>
      <c r="D13" s="332"/>
      <c r="E13" s="332"/>
      <c r="F13" s="332"/>
      <c r="G13" s="332"/>
      <c r="H13" s="332"/>
      <c r="I13" s="332"/>
      <c r="J13" s="332"/>
      <c r="K13" s="332"/>
      <c r="L13" s="332"/>
      <c r="M13" s="332"/>
      <c r="N13" s="332"/>
      <c r="O13" s="332"/>
      <c r="P13" s="332"/>
      <c r="Q13" s="332" t="s">
        <v>681</v>
      </c>
    </row>
    <row r="14" spans="1:35" ht="15.75" x14ac:dyDescent="0.25">
      <c r="A14" s="466" t="s">
        <v>453</v>
      </c>
      <c r="B14" s="332"/>
      <c r="C14" s="332">
        <v>1</v>
      </c>
      <c r="D14" s="332">
        <v>1</v>
      </c>
      <c r="E14" s="332">
        <v>2</v>
      </c>
      <c r="F14" s="332">
        <v>2</v>
      </c>
      <c r="G14" s="332">
        <v>2</v>
      </c>
      <c r="H14" s="332">
        <v>3</v>
      </c>
      <c r="I14" s="332">
        <v>3</v>
      </c>
      <c r="J14" s="332">
        <v>3</v>
      </c>
      <c r="K14" s="332">
        <v>4</v>
      </c>
      <c r="L14" s="332">
        <v>4</v>
      </c>
      <c r="M14" s="332">
        <v>4</v>
      </c>
      <c r="N14" s="332">
        <v>5</v>
      </c>
      <c r="O14" s="332">
        <v>5</v>
      </c>
      <c r="P14" s="332">
        <v>5</v>
      </c>
      <c r="Q14" s="332" t="s">
        <v>683</v>
      </c>
      <c r="AB14" s="48"/>
      <c r="AC14" s="48"/>
      <c r="AD14" s="48"/>
      <c r="AE14" s="48"/>
      <c r="AF14" s="48"/>
      <c r="AG14" s="48"/>
      <c r="AH14" s="48"/>
      <c r="AI14" s="48"/>
    </row>
    <row r="15" spans="1:35" ht="15.75" x14ac:dyDescent="0.25">
      <c r="A15" s="466" t="s">
        <v>454</v>
      </c>
      <c r="B15" s="332"/>
      <c r="C15" s="332"/>
      <c r="D15" s="332"/>
      <c r="E15" s="332"/>
      <c r="F15" s="332"/>
      <c r="G15" s="332"/>
      <c r="H15" s="332"/>
      <c r="I15" s="332"/>
      <c r="J15" s="332"/>
      <c r="K15" s="332"/>
      <c r="L15" s="332"/>
      <c r="M15" s="332"/>
      <c r="N15" s="332"/>
      <c r="O15" s="332"/>
      <c r="P15" s="332"/>
      <c r="Q15" s="332" t="s">
        <v>681</v>
      </c>
      <c r="AB15" s="48"/>
      <c r="AC15" s="48"/>
      <c r="AD15" s="48"/>
      <c r="AE15" s="48"/>
      <c r="AF15" s="48"/>
      <c r="AG15" s="48"/>
      <c r="AH15" s="48"/>
      <c r="AI15" s="48"/>
    </row>
    <row r="16" spans="1:35" ht="15.75" x14ac:dyDescent="0.25">
      <c r="A16" s="466" t="s">
        <v>455</v>
      </c>
      <c r="B16" s="332">
        <v>1</v>
      </c>
      <c r="C16" s="332">
        <v>1</v>
      </c>
      <c r="D16" s="332">
        <v>1</v>
      </c>
      <c r="E16" s="332">
        <v>2</v>
      </c>
      <c r="F16" s="332">
        <v>2</v>
      </c>
      <c r="G16" s="332">
        <v>2</v>
      </c>
      <c r="H16" s="332">
        <v>2</v>
      </c>
      <c r="I16" s="332">
        <v>3</v>
      </c>
      <c r="J16" s="332">
        <v>3</v>
      </c>
      <c r="K16" s="332">
        <v>3</v>
      </c>
      <c r="L16" s="332">
        <v>3</v>
      </c>
      <c r="M16" s="332">
        <v>4</v>
      </c>
      <c r="N16" s="332">
        <v>4</v>
      </c>
      <c r="O16" s="332">
        <v>4</v>
      </c>
      <c r="P16" s="332">
        <v>4</v>
      </c>
      <c r="Q16" s="332" t="s">
        <v>681</v>
      </c>
      <c r="AB16" s="48"/>
      <c r="AC16" s="48"/>
      <c r="AD16" s="48"/>
      <c r="AE16" s="48"/>
      <c r="AF16" s="48"/>
      <c r="AG16" s="48"/>
      <c r="AH16" s="48"/>
      <c r="AI16" s="48"/>
    </row>
    <row r="17" spans="1:35" ht="15.75" x14ac:dyDescent="0.25">
      <c r="A17" s="466" t="s">
        <v>456</v>
      </c>
      <c r="B17" s="332"/>
      <c r="C17" s="332">
        <v>1</v>
      </c>
      <c r="D17" s="332">
        <v>1</v>
      </c>
      <c r="E17" s="332">
        <v>1</v>
      </c>
      <c r="F17" s="332">
        <v>2</v>
      </c>
      <c r="G17" s="332">
        <v>2</v>
      </c>
      <c r="H17" s="332">
        <v>2</v>
      </c>
      <c r="I17" s="332">
        <v>3</v>
      </c>
      <c r="J17" s="332">
        <v>3</v>
      </c>
      <c r="K17" s="332">
        <v>3</v>
      </c>
      <c r="L17" s="332">
        <v>4</v>
      </c>
      <c r="M17" s="332">
        <v>4</v>
      </c>
      <c r="N17" s="332">
        <v>4</v>
      </c>
      <c r="O17" s="332">
        <v>4</v>
      </c>
      <c r="P17" s="332">
        <v>5</v>
      </c>
      <c r="Q17" s="332" t="s">
        <v>683</v>
      </c>
      <c r="AB17" s="48"/>
      <c r="AC17" s="48"/>
      <c r="AD17" s="48"/>
      <c r="AE17" s="48"/>
      <c r="AF17" s="48"/>
      <c r="AG17" s="48"/>
      <c r="AH17" s="48"/>
      <c r="AI17" s="48"/>
    </row>
    <row r="18" spans="1:35" ht="15.75" x14ac:dyDescent="0.25">
      <c r="A18" s="466" t="s">
        <v>457</v>
      </c>
      <c r="B18" s="332"/>
      <c r="C18" s="332"/>
      <c r="D18" s="332"/>
      <c r="E18" s="332"/>
      <c r="F18" s="332"/>
      <c r="G18" s="332"/>
      <c r="H18" s="332"/>
      <c r="I18" s="332"/>
      <c r="J18" s="332"/>
      <c r="K18" s="332"/>
      <c r="L18" s="332"/>
      <c r="M18" s="332"/>
      <c r="N18" s="332"/>
      <c r="O18" s="332"/>
      <c r="P18" s="332"/>
      <c r="Q18" s="332" t="s">
        <v>683</v>
      </c>
      <c r="AB18" s="48"/>
      <c r="AC18" s="48"/>
      <c r="AD18" s="48"/>
      <c r="AE18" s="48"/>
      <c r="AF18" s="48"/>
      <c r="AG18" s="48"/>
      <c r="AH18" s="48"/>
      <c r="AI18" s="48"/>
    </row>
    <row r="19" spans="1:35" ht="15.75" x14ac:dyDescent="0.25">
      <c r="A19" s="466" t="s">
        <v>458</v>
      </c>
      <c r="B19" s="332">
        <v>1</v>
      </c>
      <c r="C19" s="332">
        <v>1</v>
      </c>
      <c r="D19" s="332">
        <v>2</v>
      </c>
      <c r="E19" s="332">
        <v>2</v>
      </c>
      <c r="F19" s="332">
        <v>2</v>
      </c>
      <c r="G19" s="332">
        <v>3</v>
      </c>
      <c r="H19" s="332">
        <v>3</v>
      </c>
      <c r="I19" s="332">
        <v>3</v>
      </c>
      <c r="J19" s="332">
        <v>4</v>
      </c>
      <c r="K19" s="332">
        <v>4</v>
      </c>
      <c r="L19" s="332">
        <v>4</v>
      </c>
      <c r="M19" s="332">
        <v>5</v>
      </c>
      <c r="N19" s="332">
        <v>5</v>
      </c>
      <c r="O19" s="332">
        <v>5</v>
      </c>
      <c r="P19" s="332">
        <v>5</v>
      </c>
      <c r="Q19" s="332" t="s">
        <v>683</v>
      </c>
      <c r="AB19" s="48"/>
      <c r="AC19" s="48"/>
      <c r="AD19" s="48"/>
      <c r="AE19" s="48"/>
      <c r="AF19" s="48"/>
      <c r="AG19" s="48"/>
      <c r="AH19" s="48"/>
      <c r="AI19" s="48"/>
    </row>
    <row r="20" spans="1:35" ht="15.75" x14ac:dyDescent="0.25">
      <c r="A20" s="466" t="s">
        <v>459</v>
      </c>
      <c r="B20" s="332"/>
      <c r="C20" s="332"/>
      <c r="D20" s="332"/>
      <c r="E20" s="332">
        <v>1</v>
      </c>
      <c r="F20" s="332">
        <v>1</v>
      </c>
      <c r="G20" s="332">
        <v>1</v>
      </c>
      <c r="H20" s="332">
        <v>1</v>
      </c>
      <c r="I20" s="332">
        <v>2</v>
      </c>
      <c r="J20" s="332">
        <v>2</v>
      </c>
      <c r="K20" s="332">
        <v>2</v>
      </c>
      <c r="L20" s="332">
        <v>2</v>
      </c>
      <c r="M20" s="332">
        <v>3</v>
      </c>
      <c r="N20" s="332">
        <v>3</v>
      </c>
      <c r="O20" s="332">
        <v>3</v>
      </c>
      <c r="P20" s="332">
        <v>3</v>
      </c>
      <c r="Q20" s="332" t="s">
        <v>683</v>
      </c>
      <c r="AB20" s="48"/>
      <c r="AC20" s="48"/>
      <c r="AD20" s="48"/>
      <c r="AE20" s="48"/>
      <c r="AF20" s="48"/>
      <c r="AG20" s="48"/>
      <c r="AH20" s="48"/>
      <c r="AI20" s="48"/>
    </row>
    <row r="21" spans="1:35" ht="15.75" x14ac:dyDescent="0.25">
      <c r="A21" s="466" t="s">
        <v>460</v>
      </c>
      <c r="B21" s="332"/>
      <c r="C21" s="332">
        <v>1</v>
      </c>
      <c r="D21" s="332">
        <v>1</v>
      </c>
      <c r="E21" s="332">
        <v>1</v>
      </c>
      <c r="F21" s="332">
        <v>2</v>
      </c>
      <c r="G21" s="332">
        <v>2</v>
      </c>
      <c r="H21" s="332">
        <v>2</v>
      </c>
      <c r="I21" s="332">
        <v>2</v>
      </c>
      <c r="J21" s="332">
        <v>3</v>
      </c>
      <c r="K21" s="332">
        <v>3</v>
      </c>
      <c r="L21" s="332">
        <v>3</v>
      </c>
      <c r="M21" s="332">
        <v>4</v>
      </c>
      <c r="N21" s="332">
        <v>4</v>
      </c>
      <c r="O21" s="332">
        <v>4</v>
      </c>
      <c r="P21" s="332">
        <v>4</v>
      </c>
      <c r="Q21" s="332" t="s">
        <v>681</v>
      </c>
      <c r="AB21" s="48"/>
      <c r="AC21" s="48"/>
      <c r="AD21" s="48"/>
      <c r="AE21" s="48"/>
      <c r="AF21" s="48"/>
      <c r="AG21" s="48"/>
      <c r="AH21" s="48"/>
      <c r="AI21" s="48"/>
    </row>
    <row r="22" spans="1:35" ht="15.75" x14ac:dyDescent="0.25">
      <c r="A22" s="466" t="s">
        <v>461</v>
      </c>
      <c r="B22" s="332">
        <f>IF(COUNTIF(skill_select, A25)&gt;0, HLOOKUP(calc_lev-(VLOOKUP(A25, wp_search, 10, FALSE))+1, target_bonus, 2)+1, 1)</f>
        <v>1</v>
      </c>
      <c r="C22" s="332">
        <f>IF(COUNTIF(skill_select, A25)&gt;0, HLOOKUP(calc_lev-(VLOOKUP(A25, wp_search, 10, FALSE))+1, target_bonus, 2)+1, 1)</f>
        <v>1</v>
      </c>
      <c r="D22" s="332">
        <f>IF(COUNTIF(skill_select, A25)&gt;0, HLOOKUP(calc_lev-(VLOOKUP(A25, wp_search, 10, FALSE))+1, target_bonus, 2)+2, 2)</f>
        <v>2</v>
      </c>
      <c r="E22" s="332">
        <f>IF(COUNTIF(skill_select, A25)&gt;0, HLOOKUP(calc_lev-(VLOOKUP(A25, wp_search, 10, FALSE))+1, target_bonus, 2)+2, 2)</f>
        <v>2</v>
      </c>
      <c r="F22" s="332">
        <f>IF(COUNTIF(skill_select, A25)&gt;0, HLOOKUP(calc_lev-(VLOOKUP(A25, wp_search, 10, FALSE))+1, target_bonus, 2)+3, 3)</f>
        <v>3</v>
      </c>
      <c r="G22" s="332">
        <f>IF(COUNTIF(skill_select, A25)&gt;0, HLOOKUP(calc_lev-(VLOOKUP(A25, wp_search, 10, FALSE))+1, target_bonus, 2)+3, 3)</f>
        <v>3</v>
      </c>
      <c r="H22" s="332">
        <f>IF(COUNTIF(skill_select, A25)&gt;0, HLOOKUP(calc_lev-(VLOOKUP(A25, wp_search, 10, FALSE))+1, target_bonus, 2)+3, 3)</f>
        <v>3</v>
      </c>
      <c r="I22" s="332">
        <f>IF(COUNTIF(skill_select, A25)&gt;0, HLOOKUP(calc_lev-(VLOOKUP(A25, wp_search, 10, FALSE))+1, target_bonus, 2)+4, 4)</f>
        <v>4</v>
      </c>
      <c r="J22" s="332">
        <f>IF(COUNTIF(skill_select, A25)&gt;0, HLOOKUP(calc_lev-(VLOOKUP(A25, wp_search, 10, FALSE))+1, target_bonus, 2)+4, 4)</f>
        <v>4</v>
      </c>
      <c r="K22" s="332">
        <f>IF(COUNTIF(skill_select, A25)&gt;0, HLOOKUP(calc_lev-(VLOOKUP(A25, wp_search, 10, FALSE))+1, target_bonus, 2)+4, 4)</f>
        <v>4</v>
      </c>
      <c r="L22" s="332">
        <f>IF(COUNTIF(skill_select, A25)&gt;0, HLOOKUP(calc_lev-(VLOOKUP(A25, wp_search, 10, FALSE))+1, target_bonus, 2)+5, 5)</f>
        <v>5</v>
      </c>
      <c r="M22" s="332">
        <f>IF(COUNTIF(skill_select, A25)&gt;0, HLOOKUP(calc_lev-(VLOOKUP(A25, wp_search, 10, FALSE))+1, target_bonus, 2)+5, 5)</f>
        <v>5</v>
      </c>
      <c r="N22" s="332">
        <f>IF(COUNTIF(skill_select, A25)&gt;0, HLOOKUP(calc_lev-(VLOOKUP(A25, wp_search, 10, FALSE))+1, target_bonus, 2)+6, 6)</f>
        <v>6</v>
      </c>
      <c r="O22" s="332">
        <f>IF(COUNTIF(skill_select, A25)&gt;0, HLOOKUP(calc_lev-(VLOOKUP(A25, wp_search, 10, FALSE))+1, target_bonus, 2)+6, 6)</f>
        <v>6</v>
      </c>
      <c r="P22" s="332">
        <f>IF(COUNTIF(skill_select, A25)&gt;0, HLOOKUP(calc_lev-(VLOOKUP(A25, wp_search, 10, FALSE))+1, target_bonus, 2)+6, 6)</f>
        <v>6</v>
      </c>
      <c r="Q22" s="332" t="s">
        <v>683</v>
      </c>
      <c r="AB22" s="48"/>
      <c r="AC22" s="48"/>
      <c r="AD22" s="48"/>
      <c r="AE22" s="48"/>
      <c r="AF22" s="48"/>
      <c r="AG22" s="48"/>
      <c r="AH22" s="48"/>
      <c r="AI22" s="48"/>
    </row>
    <row r="23" spans="1:35" ht="15.75" x14ac:dyDescent="0.25">
      <c r="A23" s="466" t="s">
        <v>462</v>
      </c>
      <c r="B23" s="332">
        <v>1</v>
      </c>
      <c r="C23" s="332">
        <v>1</v>
      </c>
      <c r="D23" s="332">
        <v>2</v>
      </c>
      <c r="E23" s="332">
        <v>2</v>
      </c>
      <c r="F23" s="332">
        <v>2</v>
      </c>
      <c r="G23" s="332">
        <v>2</v>
      </c>
      <c r="H23" s="332">
        <v>3</v>
      </c>
      <c r="I23" s="332">
        <v>3</v>
      </c>
      <c r="J23" s="332">
        <v>3</v>
      </c>
      <c r="K23" s="332">
        <v>4</v>
      </c>
      <c r="L23" s="332">
        <v>4</v>
      </c>
      <c r="M23" s="332">
        <v>4</v>
      </c>
      <c r="N23" s="332">
        <v>5</v>
      </c>
      <c r="O23" s="332">
        <v>5</v>
      </c>
      <c r="P23" s="332">
        <v>5</v>
      </c>
      <c r="Q23" s="332" t="s">
        <v>683</v>
      </c>
      <c r="AB23" s="48"/>
      <c r="AC23" s="48"/>
      <c r="AD23" s="48"/>
      <c r="AE23" s="48"/>
      <c r="AF23" s="48"/>
      <c r="AG23" s="48"/>
      <c r="AH23" s="48"/>
      <c r="AI23" s="48"/>
    </row>
    <row r="24" spans="1:35" ht="15.75" x14ac:dyDescent="0.25">
      <c r="A24" s="466" t="s">
        <v>463</v>
      </c>
      <c r="B24" s="332">
        <v>1</v>
      </c>
      <c r="C24" s="332">
        <v>1</v>
      </c>
      <c r="D24" s="332">
        <v>2</v>
      </c>
      <c r="E24" s="332">
        <v>2</v>
      </c>
      <c r="F24" s="332">
        <v>2</v>
      </c>
      <c r="G24" s="332">
        <v>3</v>
      </c>
      <c r="H24" s="332">
        <v>3</v>
      </c>
      <c r="I24" s="332">
        <v>3</v>
      </c>
      <c r="J24" s="332">
        <v>4</v>
      </c>
      <c r="K24" s="332">
        <v>4</v>
      </c>
      <c r="L24" s="332">
        <v>4</v>
      </c>
      <c r="M24" s="332">
        <v>5</v>
      </c>
      <c r="N24" s="332">
        <v>5</v>
      </c>
      <c r="O24" s="332">
        <v>5</v>
      </c>
      <c r="P24" s="332">
        <v>6</v>
      </c>
      <c r="Q24" s="332" t="s">
        <v>683</v>
      </c>
      <c r="AB24" s="48"/>
      <c r="AC24" s="48"/>
      <c r="AD24" s="48"/>
      <c r="AE24" s="48"/>
      <c r="AF24" s="48"/>
      <c r="AG24" s="48"/>
      <c r="AH24" s="48"/>
      <c r="AI24" s="48"/>
    </row>
    <row r="25" spans="1:35" ht="15.75" x14ac:dyDescent="0.25">
      <c r="A25" s="466" t="s">
        <v>464</v>
      </c>
      <c r="B25" s="332">
        <v>1</v>
      </c>
      <c r="C25" s="332">
        <v>1</v>
      </c>
      <c r="D25" s="332">
        <v>2</v>
      </c>
      <c r="E25" s="332">
        <v>2</v>
      </c>
      <c r="F25" s="332">
        <v>3</v>
      </c>
      <c r="G25" s="332">
        <v>3</v>
      </c>
      <c r="H25" s="332">
        <v>4</v>
      </c>
      <c r="I25" s="332">
        <v>4</v>
      </c>
      <c r="J25" s="332">
        <v>4</v>
      </c>
      <c r="K25" s="332">
        <v>5</v>
      </c>
      <c r="L25" s="332">
        <v>5</v>
      </c>
      <c r="M25" s="332">
        <v>5</v>
      </c>
      <c r="N25" s="332">
        <v>6</v>
      </c>
      <c r="O25" s="332">
        <v>6</v>
      </c>
      <c r="P25" s="332">
        <v>6</v>
      </c>
      <c r="Q25" s="332" t="s">
        <v>681</v>
      </c>
      <c r="AB25" s="48"/>
      <c r="AC25" s="48"/>
      <c r="AD25" s="48"/>
      <c r="AE25" s="48"/>
      <c r="AF25" s="48"/>
      <c r="AG25" s="48"/>
      <c r="AH25" s="48"/>
      <c r="AI25" s="48"/>
    </row>
    <row r="26" spans="1:35" ht="15.75" x14ac:dyDescent="0.25">
      <c r="A26" s="466" t="s">
        <v>656</v>
      </c>
      <c r="B26" s="332">
        <v>1</v>
      </c>
      <c r="C26" s="332">
        <v>1</v>
      </c>
      <c r="D26" s="332">
        <v>2</v>
      </c>
      <c r="E26" s="332">
        <v>2</v>
      </c>
      <c r="F26" s="332">
        <v>3</v>
      </c>
      <c r="G26" s="332">
        <v>3</v>
      </c>
      <c r="H26" s="332">
        <v>4</v>
      </c>
      <c r="I26" s="332">
        <v>4</v>
      </c>
      <c r="J26" s="332">
        <v>4</v>
      </c>
      <c r="K26" s="332">
        <v>5</v>
      </c>
      <c r="L26" s="332">
        <v>5</v>
      </c>
      <c r="M26" s="332">
        <v>5</v>
      </c>
      <c r="N26" s="332">
        <v>6</v>
      </c>
      <c r="O26" s="332">
        <v>6</v>
      </c>
      <c r="P26" s="332">
        <v>6</v>
      </c>
      <c r="Q26" s="332" t="s">
        <v>681</v>
      </c>
      <c r="AB26" s="48"/>
      <c r="AC26" s="48"/>
      <c r="AD26" s="48"/>
      <c r="AE26" s="48"/>
      <c r="AF26" s="48"/>
      <c r="AG26" s="48"/>
      <c r="AH26" s="48"/>
      <c r="AI26" s="48"/>
    </row>
    <row r="27" spans="1:35" ht="15.75" x14ac:dyDescent="0.25">
      <c r="A27" s="466" t="s">
        <v>465</v>
      </c>
      <c r="B27" s="332"/>
      <c r="C27" s="332">
        <v>1</v>
      </c>
      <c r="D27" s="332">
        <v>1</v>
      </c>
      <c r="E27" s="332">
        <v>2</v>
      </c>
      <c r="F27" s="332">
        <v>2</v>
      </c>
      <c r="G27" s="332">
        <v>2</v>
      </c>
      <c r="H27" s="332">
        <v>3</v>
      </c>
      <c r="I27" s="332">
        <v>3</v>
      </c>
      <c r="J27" s="332">
        <v>3</v>
      </c>
      <c r="K27" s="332">
        <v>4</v>
      </c>
      <c r="L27" s="332">
        <v>4</v>
      </c>
      <c r="M27" s="332">
        <v>4</v>
      </c>
      <c r="N27" s="332">
        <v>5</v>
      </c>
      <c r="O27" s="332">
        <v>5</v>
      </c>
      <c r="P27" s="332">
        <v>5</v>
      </c>
      <c r="Q27" s="332" t="s">
        <v>683</v>
      </c>
      <c r="AB27" s="48"/>
      <c r="AC27" s="48"/>
      <c r="AD27" s="48"/>
      <c r="AE27" s="48"/>
      <c r="AF27" s="48"/>
      <c r="AG27" s="48"/>
      <c r="AH27" s="48"/>
      <c r="AI27" s="48"/>
    </row>
    <row r="28" spans="1:35" ht="15.75" x14ac:dyDescent="0.25">
      <c r="A28" s="467" t="str">
        <f>IF(wp_custom1="", "", wp_custom1)</f>
        <v>W.P. #1</v>
      </c>
      <c r="B28" s="332">
        <f>Customize!K51</f>
        <v>0</v>
      </c>
      <c r="C28" s="332">
        <f>Customize!K52</f>
        <v>0</v>
      </c>
      <c r="D28" s="332">
        <f>Customize!K53</f>
        <v>0</v>
      </c>
      <c r="E28" s="332">
        <f>Customize!K54</f>
        <v>0</v>
      </c>
      <c r="F28" s="332">
        <f>Customize!K55</f>
        <v>0</v>
      </c>
      <c r="G28" s="332">
        <f>Customize!K56</f>
        <v>0</v>
      </c>
      <c r="H28" s="332">
        <f>Customize!K57</f>
        <v>0</v>
      </c>
      <c r="I28" s="332">
        <f>Customize!K58</f>
        <v>0</v>
      </c>
      <c r="J28" s="332">
        <f>Customize!K59</f>
        <v>0</v>
      </c>
      <c r="K28" s="332">
        <f>Customize!K60</f>
        <v>0</v>
      </c>
      <c r="L28" s="332">
        <f>Customize!K61</f>
        <v>0</v>
      </c>
      <c r="M28" s="332">
        <f>Customize!K62</f>
        <v>0</v>
      </c>
      <c r="N28" s="332">
        <f>Customize!K63</f>
        <v>0</v>
      </c>
      <c r="O28" s="332">
        <f>Customize!K64</f>
        <v>0</v>
      </c>
      <c r="P28" s="332">
        <f>Customize!K65</f>
        <v>0</v>
      </c>
      <c r="Q28" s="332" t="str">
        <f>Customize!Q49</f>
        <v>Melee</v>
      </c>
      <c r="AB28" s="48"/>
      <c r="AC28" s="48"/>
      <c r="AD28" s="48"/>
      <c r="AE28" s="48"/>
      <c r="AF28" s="48"/>
      <c r="AG28" s="48"/>
      <c r="AH28" s="48"/>
      <c r="AI28" s="48"/>
    </row>
    <row r="29" spans="1:35" ht="15.75" x14ac:dyDescent="0.25">
      <c r="A29" s="467" t="str">
        <f>IF(wp_custom2="", "", wp_custom2)</f>
        <v>W.P. #2</v>
      </c>
      <c r="B29" s="332">
        <f>Customize!B72</f>
        <v>0</v>
      </c>
      <c r="C29" s="332">
        <f>Customize!B73</f>
        <v>0</v>
      </c>
      <c r="D29" s="332">
        <f>Customize!B74</f>
        <v>0</v>
      </c>
      <c r="E29" s="332">
        <f>Customize!B75</f>
        <v>0</v>
      </c>
      <c r="F29" s="332">
        <f>Customize!B76</f>
        <v>0</v>
      </c>
      <c r="G29" s="332">
        <f>Customize!B77</f>
        <v>0</v>
      </c>
      <c r="H29" s="332">
        <f>Customize!B78</f>
        <v>0</v>
      </c>
      <c r="I29" s="332">
        <f>Customize!B79</f>
        <v>0</v>
      </c>
      <c r="J29" s="332">
        <f>Customize!B80</f>
        <v>0</v>
      </c>
      <c r="K29" s="332">
        <f>Customize!B81</f>
        <v>0</v>
      </c>
      <c r="L29" s="332">
        <f>Customize!B82</f>
        <v>0</v>
      </c>
      <c r="M29" s="332">
        <f>Customize!B83</f>
        <v>0</v>
      </c>
      <c r="N29" s="332">
        <f>Customize!B84</f>
        <v>0</v>
      </c>
      <c r="O29" s="332">
        <f>Customize!B85</f>
        <v>0</v>
      </c>
      <c r="P29" s="332">
        <f>Customize!B86</f>
        <v>0</v>
      </c>
      <c r="Q29" s="332" t="str">
        <f>Customize!H70</f>
        <v>Melee</v>
      </c>
      <c r="AB29" s="48"/>
      <c r="AC29" s="48"/>
      <c r="AD29" s="48"/>
      <c r="AE29" s="48"/>
      <c r="AF29" s="48"/>
      <c r="AG29" s="48"/>
      <c r="AH29" s="48"/>
      <c r="AI29" s="48"/>
    </row>
    <row r="30" spans="1:35" ht="15.75" x14ac:dyDescent="0.25">
      <c r="A30" s="467" t="str">
        <f>IF(wp_custom3="", "", wp_custom3)</f>
        <v>W.P. #3</v>
      </c>
      <c r="B30" s="332">
        <f>Customize!K72</f>
        <v>0</v>
      </c>
      <c r="C30" s="332">
        <f>Customize!K73</f>
        <v>0</v>
      </c>
      <c r="D30" s="332">
        <f>Customize!K74</f>
        <v>0</v>
      </c>
      <c r="E30" s="332">
        <f>Customize!K75</f>
        <v>0</v>
      </c>
      <c r="F30" s="332">
        <f>Customize!K76</f>
        <v>0</v>
      </c>
      <c r="G30" s="332">
        <f>Customize!K77</f>
        <v>0</v>
      </c>
      <c r="H30" s="332">
        <f>Customize!K78</f>
        <v>0</v>
      </c>
      <c r="I30" s="332">
        <f>Customize!K79</f>
        <v>0</v>
      </c>
      <c r="J30" s="332">
        <f>Customize!K80</f>
        <v>0</v>
      </c>
      <c r="K30" s="332">
        <f>Customize!K81</f>
        <v>0</v>
      </c>
      <c r="L30" s="332">
        <f>Customize!K82</f>
        <v>0</v>
      </c>
      <c r="M30" s="332">
        <f>Customize!K83</f>
        <v>0</v>
      </c>
      <c r="N30" s="332">
        <f>Customize!K84</f>
        <v>0</v>
      </c>
      <c r="O30" s="332">
        <f>Customize!K85</f>
        <v>0</v>
      </c>
      <c r="P30" s="332">
        <f>Customize!K86</f>
        <v>0</v>
      </c>
      <c r="Q30" s="332" t="str">
        <f>Customize!Q70</f>
        <v>Melee</v>
      </c>
      <c r="AB30" s="48"/>
      <c r="AC30" s="48"/>
      <c r="AD30" s="48"/>
      <c r="AE30" s="48"/>
      <c r="AF30" s="48"/>
      <c r="AG30" s="48"/>
      <c r="AH30" s="48"/>
      <c r="AI30" s="48"/>
    </row>
    <row r="31" spans="1:35" x14ac:dyDescent="0.25">
      <c r="A31" s="383"/>
      <c r="B31" s="383"/>
      <c r="C31" s="383"/>
      <c r="D31" s="383"/>
      <c r="E31" s="383"/>
      <c r="F31" s="383"/>
      <c r="G31" s="383"/>
      <c r="H31" s="383"/>
      <c r="I31" s="383"/>
      <c r="J31" s="383"/>
      <c r="K31" s="383"/>
      <c r="L31" s="383"/>
      <c r="M31" s="383"/>
      <c r="N31" s="383"/>
      <c r="O31" s="383"/>
      <c r="P31" s="383"/>
      <c r="Q31" s="383"/>
      <c r="AB31" s="48"/>
      <c r="AC31" s="48"/>
      <c r="AD31" s="48"/>
      <c r="AE31" s="48"/>
      <c r="AF31" s="48"/>
      <c r="AG31" s="48"/>
      <c r="AH31" s="48"/>
      <c r="AI31" s="48"/>
    </row>
    <row r="32" spans="1:35" x14ac:dyDescent="0.25">
      <c r="A32" s="1460" t="s">
        <v>76</v>
      </c>
      <c r="B32" s="1460"/>
      <c r="C32" s="1460"/>
      <c r="D32" s="1460"/>
      <c r="E32" s="1460"/>
      <c r="F32" s="1460"/>
      <c r="G32" s="1460"/>
      <c r="H32" s="1460"/>
      <c r="I32" s="1460"/>
      <c r="J32" s="1460"/>
      <c r="K32" s="1460"/>
      <c r="L32" s="1460"/>
      <c r="M32" s="1460"/>
      <c r="N32" s="1460"/>
      <c r="O32" s="1460"/>
      <c r="P32" s="1460"/>
      <c r="Q32" s="383"/>
      <c r="AB32" s="48"/>
      <c r="AC32" s="48"/>
      <c r="AD32" s="48"/>
      <c r="AE32" s="48"/>
      <c r="AF32" s="48"/>
      <c r="AG32" s="48"/>
      <c r="AH32" s="48"/>
      <c r="AI32" s="48"/>
    </row>
    <row r="33" spans="1:35" x14ac:dyDescent="0.25">
      <c r="A33" s="332"/>
      <c r="B33" s="465">
        <v>1</v>
      </c>
      <c r="C33" s="465">
        <v>2</v>
      </c>
      <c r="D33" s="465">
        <v>3</v>
      </c>
      <c r="E33" s="465">
        <v>4</v>
      </c>
      <c r="F33" s="465">
        <v>5</v>
      </c>
      <c r="G33" s="465">
        <v>6</v>
      </c>
      <c r="H33" s="465">
        <v>7</v>
      </c>
      <c r="I33" s="465">
        <v>8</v>
      </c>
      <c r="J33" s="465">
        <v>9</v>
      </c>
      <c r="K33" s="465">
        <v>10</v>
      </c>
      <c r="L33" s="465">
        <v>11</v>
      </c>
      <c r="M33" s="465">
        <v>12</v>
      </c>
      <c r="N33" s="465">
        <v>13</v>
      </c>
      <c r="O33" s="465">
        <v>14</v>
      </c>
      <c r="P33" s="465">
        <v>15</v>
      </c>
      <c r="Q33" s="383"/>
      <c r="AB33" s="48"/>
      <c r="AC33" s="48"/>
      <c r="AD33" s="48"/>
      <c r="AE33" s="48"/>
      <c r="AF33" s="48"/>
      <c r="AG33" s="48"/>
      <c r="AH33" s="48"/>
      <c r="AI33" s="48"/>
    </row>
    <row r="34" spans="1:35" ht="15.75" x14ac:dyDescent="0.25">
      <c r="A34" s="466" t="s">
        <v>444</v>
      </c>
      <c r="B34" s="332">
        <v>1</v>
      </c>
      <c r="C34" s="332">
        <v>1</v>
      </c>
      <c r="D34" s="332">
        <v>1</v>
      </c>
      <c r="E34" s="332">
        <v>1</v>
      </c>
      <c r="F34" s="332">
        <v>1</v>
      </c>
      <c r="G34" s="332">
        <v>1</v>
      </c>
      <c r="H34" s="332">
        <v>1</v>
      </c>
      <c r="I34" s="332">
        <v>1</v>
      </c>
      <c r="J34" s="332">
        <v>1</v>
      </c>
      <c r="K34" s="332">
        <v>1</v>
      </c>
      <c r="L34" s="332">
        <v>1</v>
      </c>
      <c r="M34" s="332">
        <v>1</v>
      </c>
      <c r="N34" s="332">
        <v>1</v>
      </c>
      <c r="O34" s="332">
        <v>1</v>
      </c>
      <c r="P34" s="332">
        <v>1</v>
      </c>
      <c r="Q34" s="383"/>
      <c r="AB34" s="48"/>
      <c r="AC34" s="48"/>
      <c r="AD34" s="48"/>
      <c r="AE34" s="48"/>
      <c r="AF34" s="48"/>
      <c r="AG34" s="48"/>
      <c r="AH34" s="48"/>
      <c r="AI34" s="48"/>
    </row>
    <row r="35" spans="1:35" ht="15.75" x14ac:dyDescent="0.25">
      <c r="A35" s="466" t="s">
        <v>446</v>
      </c>
      <c r="B35" s="332"/>
      <c r="C35" s="332">
        <v>1</v>
      </c>
      <c r="D35" s="332">
        <v>1</v>
      </c>
      <c r="E35" s="332">
        <v>2</v>
      </c>
      <c r="F35" s="332">
        <v>2</v>
      </c>
      <c r="G35" s="332">
        <v>2</v>
      </c>
      <c r="H35" s="332">
        <v>2</v>
      </c>
      <c r="I35" s="332">
        <v>3</v>
      </c>
      <c r="J35" s="332">
        <v>3</v>
      </c>
      <c r="K35" s="332">
        <v>3</v>
      </c>
      <c r="L35" s="332">
        <v>3</v>
      </c>
      <c r="M35" s="332">
        <v>4</v>
      </c>
      <c r="N35" s="332">
        <v>4</v>
      </c>
      <c r="O35" s="332">
        <v>4</v>
      </c>
      <c r="P35" s="332">
        <v>4</v>
      </c>
      <c r="Q35" s="383"/>
      <c r="AB35" s="48"/>
      <c r="AC35" s="48"/>
      <c r="AD35" s="48"/>
      <c r="AE35" s="48"/>
      <c r="AF35" s="48"/>
      <c r="AG35" s="48"/>
      <c r="AH35" s="48"/>
      <c r="AI35" s="48"/>
    </row>
    <row r="36" spans="1:35" ht="15.75" x14ac:dyDescent="0.25">
      <c r="A36" s="466" t="s">
        <v>447</v>
      </c>
      <c r="B36" s="332">
        <v>1</v>
      </c>
      <c r="C36" s="332">
        <v>1</v>
      </c>
      <c r="D36" s="332">
        <v>2</v>
      </c>
      <c r="E36" s="332">
        <v>2</v>
      </c>
      <c r="F36" s="332">
        <v>2</v>
      </c>
      <c r="G36" s="332">
        <v>3</v>
      </c>
      <c r="H36" s="332">
        <v>3</v>
      </c>
      <c r="I36" s="332">
        <v>3</v>
      </c>
      <c r="J36" s="332">
        <v>4</v>
      </c>
      <c r="K36" s="332">
        <v>4</v>
      </c>
      <c r="L36" s="332">
        <v>4</v>
      </c>
      <c r="M36" s="332">
        <v>5</v>
      </c>
      <c r="N36" s="332">
        <v>5</v>
      </c>
      <c r="O36" s="332">
        <v>5</v>
      </c>
      <c r="P36" s="332">
        <v>5</v>
      </c>
      <c r="Q36" s="383"/>
      <c r="AB36" s="48"/>
      <c r="AC36" s="48"/>
      <c r="AD36" s="48"/>
      <c r="AE36" s="48"/>
      <c r="AF36" s="48"/>
      <c r="AG36" s="48"/>
      <c r="AH36" s="48"/>
      <c r="AI36" s="48"/>
    </row>
    <row r="37" spans="1:35" ht="15.75" x14ac:dyDescent="0.25">
      <c r="A37" s="466" t="s">
        <v>448</v>
      </c>
      <c r="B37" s="332" t="e">
        <v>#N/A</v>
      </c>
      <c r="C37" s="332" t="e">
        <v>#N/A</v>
      </c>
      <c r="D37" s="332" t="e">
        <v>#N/A</v>
      </c>
      <c r="E37" s="332" t="e">
        <v>#N/A</v>
      </c>
      <c r="F37" s="332" t="e">
        <v>#N/A</v>
      </c>
      <c r="G37" s="332" t="e">
        <v>#N/A</v>
      </c>
      <c r="H37" s="332" t="e">
        <v>#N/A</v>
      </c>
      <c r="I37" s="332" t="e">
        <v>#N/A</v>
      </c>
      <c r="J37" s="332" t="e">
        <v>#N/A</v>
      </c>
      <c r="K37" s="332" t="e">
        <v>#N/A</v>
      </c>
      <c r="L37" s="332" t="e">
        <v>#N/A</v>
      </c>
      <c r="M37" s="332" t="e">
        <v>#N/A</v>
      </c>
      <c r="N37" s="332" t="e">
        <v>#N/A</v>
      </c>
      <c r="O37" s="332" t="e">
        <v>#N/A</v>
      </c>
      <c r="P37" s="332" t="e">
        <v>#N/A</v>
      </c>
      <c r="Q37" s="383"/>
      <c r="AB37" s="48"/>
      <c r="AC37" s="48"/>
      <c r="AD37" s="48"/>
      <c r="AE37" s="48"/>
      <c r="AF37" s="48"/>
      <c r="AG37" s="48"/>
      <c r="AH37" s="48"/>
      <c r="AI37" s="48"/>
    </row>
    <row r="38" spans="1:35" ht="15.75" x14ac:dyDescent="0.25">
      <c r="A38" s="466" t="s">
        <v>449</v>
      </c>
      <c r="B38" s="332"/>
      <c r="C38" s="332"/>
      <c r="D38" s="332"/>
      <c r="E38" s="332">
        <v>1</v>
      </c>
      <c r="F38" s="332">
        <v>1</v>
      </c>
      <c r="G38" s="332">
        <v>1</v>
      </c>
      <c r="H38" s="332">
        <v>1</v>
      </c>
      <c r="I38" s="332">
        <v>2</v>
      </c>
      <c r="J38" s="332">
        <v>2</v>
      </c>
      <c r="K38" s="332">
        <v>2</v>
      </c>
      <c r="L38" s="332">
        <v>2</v>
      </c>
      <c r="M38" s="332">
        <v>3</v>
      </c>
      <c r="N38" s="332">
        <v>3</v>
      </c>
      <c r="O38" s="332">
        <v>3</v>
      </c>
      <c r="P38" s="332">
        <v>3</v>
      </c>
      <c r="Q38" s="383"/>
      <c r="AB38" s="48"/>
      <c r="AC38" s="48"/>
      <c r="AD38" s="48"/>
      <c r="AE38" s="48"/>
      <c r="AF38" s="48"/>
      <c r="AG38" s="48"/>
      <c r="AH38" s="48"/>
      <c r="AI38" s="48"/>
    </row>
    <row r="39" spans="1:35" ht="15.75" x14ac:dyDescent="0.25">
      <c r="A39" s="466" t="s">
        <v>450</v>
      </c>
      <c r="B39" s="332">
        <v>1</v>
      </c>
      <c r="C39" s="332">
        <v>1</v>
      </c>
      <c r="D39" s="332">
        <v>2</v>
      </c>
      <c r="E39" s="332">
        <v>2</v>
      </c>
      <c r="F39" s="332">
        <v>2</v>
      </c>
      <c r="G39" s="332">
        <v>3</v>
      </c>
      <c r="H39" s="332">
        <v>3</v>
      </c>
      <c r="I39" s="332">
        <v>3</v>
      </c>
      <c r="J39" s="332">
        <v>3</v>
      </c>
      <c r="K39" s="332">
        <v>4</v>
      </c>
      <c r="L39" s="332">
        <v>4</v>
      </c>
      <c r="M39" s="332">
        <v>4</v>
      </c>
      <c r="N39" s="332">
        <v>5</v>
      </c>
      <c r="O39" s="332">
        <v>5</v>
      </c>
      <c r="P39" s="332">
        <v>5</v>
      </c>
      <c r="Q39" s="383"/>
      <c r="AB39" s="48"/>
      <c r="AC39" s="48"/>
      <c r="AD39" s="48"/>
      <c r="AE39" s="48"/>
      <c r="AF39" s="48"/>
      <c r="AG39" s="48"/>
      <c r="AH39" s="48"/>
      <c r="AI39" s="48"/>
    </row>
    <row r="40" spans="1:35" ht="15.75" x14ac:dyDescent="0.25">
      <c r="A40" s="466" t="s">
        <v>451</v>
      </c>
      <c r="B40" s="332" t="e">
        <v>#N/A</v>
      </c>
      <c r="C40" s="332" t="e">
        <v>#N/A</v>
      </c>
      <c r="D40" s="332" t="e">
        <v>#N/A</v>
      </c>
      <c r="E40" s="332" t="e">
        <v>#N/A</v>
      </c>
      <c r="F40" s="332" t="e">
        <v>#N/A</v>
      </c>
      <c r="G40" s="332" t="e">
        <v>#N/A</v>
      </c>
      <c r="H40" s="332" t="e">
        <v>#N/A</v>
      </c>
      <c r="I40" s="332" t="e">
        <v>#N/A</v>
      </c>
      <c r="J40" s="332" t="e">
        <v>#N/A</v>
      </c>
      <c r="K40" s="332" t="e">
        <v>#N/A</v>
      </c>
      <c r="L40" s="332" t="e">
        <v>#N/A</v>
      </c>
      <c r="M40" s="332" t="e">
        <v>#N/A</v>
      </c>
      <c r="N40" s="332" t="e">
        <v>#N/A</v>
      </c>
      <c r="O40" s="332" t="e">
        <v>#N/A</v>
      </c>
      <c r="P40" s="332" t="e">
        <v>#N/A</v>
      </c>
      <c r="Q40" s="383"/>
      <c r="AB40" s="48"/>
      <c r="AC40" s="48"/>
      <c r="AD40" s="48"/>
      <c r="AE40" s="48"/>
      <c r="AF40" s="48"/>
      <c r="AG40" s="48"/>
      <c r="AH40" s="48"/>
      <c r="AI40" s="48"/>
    </row>
    <row r="41" spans="1:35" ht="15.75" x14ac:dyDescent="0.25">
      <c r="A41" s="466" t="s">
        <v>452</v>
      </c>
      <c r="B41" s="332"/>
      <c r="C41" s="332"/>
      <c r="D41" s="332">
        <v>1</v>
      </c>
      <c r="E41" s="332">
        <v>1</v>
      </c>
      <c r="F41" s="332">
        <v>1</v>
      </c>
      <c r="G41" s="332">
        <v>1</v>
      </c>
      <c r="H41" s="332">
        <v>2</v>
      </c>
      <c r="I41" s="332">
        <v>2</v>
      </c>
      <c r="J41" s="332">
        <v>2</v>
      </c>
      <c r="K41" s="332">
        <v>2</v>
      </c>
      <c r="L41" s="332">
        <v>2</v>
      </c>
      <c r="M41" s="332">
        <v>2</v>
      </c>
      <c r="N41" s="332">
        <v>2</v>
      </c>
      <c r="O41" s="332">
        <v>2</v>
      </c>
      <c r="P41" s="332">
        <v>2</v>
      </c>
      <c r="Q41" s="383"/>
      <c r="AB41" s="48"/>
      <c r="AC41" s="48"/>
      <c r="AD41" s="48"/>
      <c r="AE41" s="48"/>
      <c r="AF41" s="48"/>
      <c r="AG41" s="48"/>
      <c r="AH41" s="48"/>
      <c r="AI41" s="48"/>
    </row>
    <row r="42" spans="1:35" ht="15.75" x14ac:dyDescent="0.25">
      <c r="A42" s="466" t="s">
        <v>657</v>
      </c>
      <c r="B42" s="332"/>
      <c r="C42" s="332"/>
      <c r="D42" s="332"/>
      <c r="E42" s="332"/>
      <c r="F42" s="332"/>
      <c r="G42" s="332"/>
      <c r="H42" s="332"/>
      <c r="I42" s="332"/>
      <c r="J42" s="332"/>
      <c r="K42" s="332"/>
      <c r="L42" s="332"/>
      <c r="M42" s="332"/>
      <c r="N42" s="332"/>
      <c r="O42" s="332"/>
      <c r="P42" s="332"/>
      <c r="Q42" s="383"/>
      <c r="AB42" s="48"/>
      <c r="AC42" s="48"/>
      <c r="AD42" s="48"/>
      <c r="AE42" s="48"/>
      <c r="AF42" s="48"/>
      <c r="AG42" s="48"/>
      <c r="AH42" s="48"/>
      <c r="AI42" s="48"/>
    </row>
    <row r="43" spans="1:35" ht="15.75" x14ac:dyDescent="0.25">
      <c r="A43" s="466" t="s">
        <v>453</v>
      </c>
      <c r="B43" s="332">
        <v>1</v>
      </c>
      <c r="C43" s="332">
        <v>1</v>
      </c>
      <c r="D43" s="332">
        <v>2</v>
      </c>
      <c r="E43" s="332">
        <v>2</v>
      </c>
      <c r="F43" s="332">
        <v>2</v>
      </c>
      <c r="G43" s="332">
        <v>3</v>
      </c>
      <c r="H43" s="332">
        <v>3</v>
      </c>
      <c r="I43" s="332">
        <v>3</v>
      </c>
      <c r="J43" s="332">
        <v>4</v>
      </c>
      <c r="K43" s="332">
        <v>4</v>
      </c>
      <c r="L43" s="332">
        <v>4</v>
      </c>
      <c r="M43" s="332">
        <v>5</v>
      </c>
      <c r="N43" s="332">
        <v>5</v>
      </c>
      <c r="O43" s="332">
        <v>5</v>
      </c>
      <c r="P43" s="332">
        <v>5</v>
      </c>
      <c r="Q43" s="383"/>
      <c r="AB43" s="48"/>
      <c r="AC43" s="48"/>
      <c r="AD43" s="48"/>
      <c r="AE43" s="48"/>
      <c r="AF43" s="48"/>
      <c r="AG43" s="48"/>
      <c r="AH43" s="48"/>
      <c r="AI43" s="48"/>
    </row>
    <row r="44" spans="1:35" ht="15.75" x14ac:dyDescent="0.25">
      <c r="A44" s="466" t="s">
        <v>454</v>
      </c>
      <c r="B44" s="332" t="e">
        <v>#N/A</v>
      </c>
      <c r="C44" s="332" t="e">
        <v>#N/A</v>
      </c>
      <c r="D44" s="332" t="e">
        <v>#N/A</v>
      </c>
      <c r="E44" s="332" t="e">
        <v>#N/A</v>
      </c>
      <c r="F44" s="332" t="e">
        <v>#N/A</v>
      </c>
      <c r="G44" s="332" t="e">
        <v>#N/A</v>
      </c>
      <c r="H44" s="332" t="e">
        <v>#N/A</v>
      </c>
      <c r="I44" s="332" t="e">
        <v>#N/A</v>
      </c>
      <c r="J44" s="332" t="e">
        <v>#N/A</v>
      </c>
      <c r="K44" s="332" t="e">
        <v>#N/A</v>
      </c>
      <c r="L44" s="332" t="e">
        <v>#N/A</v>
      </c>
      <c r="M44" s="332" t="e">
        <v>#N/A</v>
      </c>
      <c r="N44" s="332" t="e">
        <v>#N/A</v>
      </c>
      <c r="O44" s="332" t="e">
        <v>#N/A</v>
      </c>
      <c r="P44" s="332" t="e">
        <v>#N/A</v>
      </c>
      <c r="Q44" s="383"/>
      <c r="AB44" s="48"/>
      <c r="AC44" s="48"/>
      <c r="AD44" s="48"/>
      <c r="AE44" s="48"/>
      <c r="AF44" s="48"/>
      <c r="AG44" s="48"/>
      <c r="AH44" s="48"/>
      <c r="AI44" s="48"/>
    </row>
    <row r="45" spans="1:35" ht="15.75" x14ac:dyDescent="0.25">
      <c r="A45" s="466" t="s">
        <v>455</v>
      </c>
      <c r="B45" s="332" t="e">
        <v>#N/A</v>
      </c>
      <c r="C45" s="332" t="e">
        <v>#N/A</v>
      </c>
      <c r="D45" s="332" t="e">
        <v>#N/A</v>
      </c>
      <c r="E45" s="332" t="e">
        <v>#N/A</v>
      </c>
      <c r="F45" s="332" t="e">
        <v>#N/A</v>
      </c>
      <c r="G45" s="332" t="e">
        <v>#N/A</v>
      </c>
      <c r="H45" s="332" t="e">
        <v>#N/A</v>
      </c>
      <c r="I45" s="332" t="e">
        <v>#N/A</v>
      </c>
      <c r="J45" s="332" t="e">
        <v>#N/A</v>
      </c>
      <c r="K45" s="332" t="e">
        <v>#N/A</v>
      </c>
      <c r="L45" s="332" t="e">
        <v>#N/A</v>
      </c>
      <c r="M45" s="332" t="e">
        <v>#N/A</v>
      </c>
      <c r="N45" s="332" t="e">
        <v>#N/A</v>
      </c>
      <c r="O45" s="332" t="e">
        <v>#N/A</v>
      </c>
      <c r="P45" s="332" t="e">
        <v>#N/A</v>
      </c>
      <c r="Q45" s="383"/>
      <c r="AB45" s="48"/>
      <c r="AC45" s="48"/>
      <c r="AD45" s="48"/>
      <c r="AE45" s="48"/>
      <c r="AF45" s="48"/>
      <c r="AG45" s="48"/>
      <c r="AH45" s="48"/>
      <c r="AI45" s="48"/>
    </row>
    <row r="46" spans="1:35" ht="15.75" x14ac:dyDescent="0.25">
      <c r="A46" s="466" t="s">
        <v>456</v>
      </c>
      <c r="B46" s="332"/>
      <c r="C46" s="332">
        <v>1</v>
      </c>
      <c r="D46" s="332">
        <v>1</v>
      </c>
      <c r="E46" s="332">
        <v>2</v>
      </c>
      <c r="F46" s="332">
        <v>2</v>
      </c>
      <c r="G46" s="332">
        <v>3</v>
      </c>
      <c r="H46" s="332">
        <v>3</v>
      </c>
      <c r="I46" s="332">
        <v>3</v>
      </c>
      <c r="J46" s="332">
        <v>4</v>
      </c>
      <c r="K46" s="332">
        <v>4</v>
      </c>
      <c r="L46" s="332">
        <v>4</v>
      </c>
      <c r="M46" s="332">
        <v>5</v>
      </c>
      <c r="N46" s="332">
        <v>5</v>
      </c>
      <c r="O46" s="332">
        <v>5</v>
      </c>
      <c r="P46" s="332">
        <v>5</v>
      </c>
      <c r="Q46" s="383"/>
      <c r="AB46" s="48"/>
      <c r="AC46" s="48"/>
      <c r="AD46" s="48"/>
      <c r="AE46" s="48"/>
      <c r="AF46" s="48"/>
      <c r="AG46" s="48"/>
      <c r="AH46" s="48"/>
      <c r="AI46" s="48"/>
    </row>
    <row r="47" spans="1:35" ht="15.75" x14ac:dyDescent="0.25">
      <c r="A47" s="466" t="s">
        <v>457</v>
      </c>
      <c r="B47" s="332"/>
      <c r="C47" s="332"/>
      <c r="D47" s="332"/>
      <c r="E47" s="332"/>
      <c r="F47" s="332"/>
      <c r="G47" s="332"/>
      <c r="H47" s="332"/>
      <c r="I47" s="332"/>
      <c r="J47" s="332"/>
      <c r="K47" s="332"/>
      <c r="L47" s="332"/>
      <c r="M47" s="332"/>
      <c r="N47" s="332"/>
      <c r="O47" s="332"/>
      <c r="P47" s="332"/>
      <c r="Q47" s="383"/>
      <c r="AB47" s="48"/>
      <c r="AC47" s="48"/>
      <c r="AD47" s="48"/>
      <c r="AE47" s="48"/>
      <c r="AF47" s="48"/>
      <c r="AG47" s="48"/>
      <c r="AH47" s="48"/>
      <c r="AI47" s="48"/>
    </row>
    <row r="48" spans="1:35" ht="15.75" x14ac:dyDescent="0.25">
      <c r="A48" s="466" t="s">
        <v>458</v>
      </c>
      <c r="B48" s="332">
        <v>1</v>
      </c>
      <c r="C48" s="332">
        <v>1</v>
      </c>
      <c r="D48" s="332">
        <v>2</v>
      </c>
      <c r="E48" s="332">
        <v>2</v>
      </c>
      <c r="F48" s="332">
        <v>2</v>
      </c>
      <c r="G48" s="332">
        <v>3</v>
      </c>
      <c r="H48" s="332">
        <v>3</v>
      </c>
      <c r="I48" s="332">
        <v>3</v>
      </c>
      <c r="J48" s="332">
        <v>4</v>
      </c>
      <c r="K48" s="332">
        <v>4</v>
      </c>
      <c r="L48" s="332">
        <v>4</v>
      </c>
      <c r="M48" s="332">
        <v>5</v>
      </c>
      <c r="N48" s="332">
        <v>5</v>
      </c>
      <c r="O48" s="332">
        <v>5</v>
      </c>
      <c r="P48" s="332">
        <v>5</v>
      </c>
      <c r="Q48" s="383"/>
      <c r="AB48" s="48"/>
      <c r="AC48" s="48"/>
      <c r="AD48" s="48"/>
      <c r="AE48" s="48"/>
      <c r="AF48" s="48"/>
      <c r="AG48" s="48"/>
      <c r="AH48" s="48"/>
      <c r="AI48" s="48"/>
    </row>
    <row r="49" spans="1:35" ht="15.75" x14ac:dyDescent="0.25">
      <c r="A49" s="466" t="s">
        <v>459</v>
      </c>
      <c r="B49" s="332">
        <v>1</v>
      </c>
      <c r="C49" s="332">
        <v>1</v>
      </c>
      <c r="D49" s="332">
        <v>2</v>
      </c>
      <c r="E49" s="332">
        <v>2</v>
      </c>
      <c r="F49" s="332">
        <v>2</v>
      </c>
      <c r="G49" s="332">
        <v>3</v>
      </c>
      <c r="H49" s="332">
        <v>3</v>
      </c>
      <c r="I49" s="332">
        <v>3</v>
      </c>
      <c r="J49" s="332">
        <v>4</v>
      </c>
      <c r="K49" s="332">
        <v>4</v>
      </c>
      <c r="L49" s="332">
        <v>4</v>
      </c>
      <c r="M49" s="332">
        <v>5</v>
      </c>
      <c r="N49" s="332">
        <v>5</v>
      </c>
      <c r="O49" s="332">
        <v>5</v>
      </c>
      <c r="P49" s="332">
        <v>6</v>
      </c>
      <c r="Q49" s="383"/>
      <c r="AB49" s="48"/>
      <c r="AC49" s="48"/>
      <c r="AD49" s="48"/>
      <c r="AE49" s="48"/>
      <c r="AF49" s="48"/>
      <c r="AG49" s="48"/>
      <c r="AH49" s="48"/>
      <c r="AI49" s="48"/>
    </row>
    <row r="50" spans="1:35" ht="15.75" x14ac:dyDescent="0.25">
      <c r="A50" s="466" t="s">
        <v>460</v>
      </c>
      <c r="B50" s="332" t="e">
        <v>#N/A</v>
      </c>
      <c r="C50" s="332" t="e">
        <v>#N/A</v>
      </c>
      <c r="D50" s="332" t="e">
        <v>#N/A</v>
      </c>
      <c r="E50" s="332" t="e">
        <v>#N/A</v>
      </c>
      <c r="F50" s="332" t="e">
        <v>#N/A</v>
      </c>
      <c r="G50" s="332" t="e">
        <v>#N/A</v>
      </c>
      <c r="H50" s="332" t="e">
        <v>#N/A</v>
      </c>
      <c r="I50" s="332" t="e">
        <v>#N/A</v>
      </c>
      <c r="J50" s="332" t="e">
        <v>#N/A</v>
      </c>
      <c r="K50" s="332" t="e">
        <v>#N/A</v>
      </c>
      <c r="L50" s="332" t="e">
        <v>#N/A</v>
      </c>
      <c r="M50" s="332" t="e">
        <v>#N/A</v>
      </c>
      <c r="N50" s="332" t="e">
        <v>#N/A</v>
      </c>
      <c r="O50" s="332" t="e">
        <v>#N/A</v>
      </c>
      <c r="P50" s="332" t="e">
        <v>#N/A</v>
      </c>
      <c r="Q50" s="383"/>
      <c r="AB50" s="48"/>
      <c r="AC50" s="48"/>
      <c r="AD50" s="48"/>
      <c r="AE50" s="48"/>
      <c r="AF50" s="48"/>
      <c r="AG50" s="48"/>
      <c r="AH50" s="48"/>
      <c r="AI50" s="48"/>
    </row>
    <row r="51" spans="1:35" ht="15.75" x14ac:dyDescent="0.25">
      <c r="A51" s="466" t="s">
        <v>461</v>
      </c>
      <c r="B51" s="332">
        <v>1</v>
      </c>
      <c r="C51" s="332">
        <v>1</v>
      </c>
      <c r="D51" s="332">
        <v>2</v>
      </c>
      <c r="E51" s="332">
        <v>2</v>
      </c>
      <c r="F51" s="332">
        <v>3</v>
      </c>
      <c r="G51" s="332">
        <v>3</v>
      </c>
      <c r="H51" s="332">
        <v>3</v>
      </c>
      <c r="I51" s="332">
        <v>4</v>
      </c>
      <c r="J51" s="332">
        <v>4</v>
      </c>
      <c r="K51" s="332">
        <v>4</v>
      </c>
      <c r="L51" s="332">
        <v>5</v>
      </c>
      <c r="M51" s="332">
        <v>5</v>
      </c>
      <c r="N51" s="332">
        <v>6</v>
      </c>
      <c r="O51" s="332">
        <v>6</v>
      </c>
      <c r="P51" s="332">
        <v>6</v>
      </c>
      <c r="Q51" s="383"/>
      <c r="AB51" s="48"/>
      <c r="AC51" s="48"/>
      <c r="AD51" s="48"/>
      <c r="AE51" s="48"/>
      <c r="AF51" s="48"/>
      <c r="AG51" s="48"/>
      <c r="AH51" s="48"/>
      <c r="AI51" s="48"/>
    </row>
    <row r="52" spans="1:35" ht="15.75" x14ac:dyDescent="0.25">
      <c r="A52" s="466" t="s">
        <v>462</v>
      </c>
      <c r="B52" s="332"/>
      <c r="C52" s="332">
        <v>1</v>
      </c>
      <c r="D52" s="332">
        <v>1</v>
      </c>
      <c r="E52" s="332">
        <v>1</v>
      </c>
      <c r="F52" s="332">
        <v>2</v>
      </c>
      <c r="G52" s="332">
        <v>2</v>
      </c>
      <c r="H52" s="332">
        <v>2</v>
      </c>
      <c r="I52" s="332">
        <v>3</v>
      </c>
      <c r="J52" s="332">
        <v>3</v>
      </c>
      <c r="K52" s="332">
        <v>3</v>
      </c>
      <c r="L52" s="332">
        <v>4</v>
      </c>
      <c r="M52" s="332">
        <v>4</v>
      </c>
      <c r="N52" s="332">
        <v>4</v>
      </c>
      <c r="O52" s="332">
        <v>5</v>
      </c>
      <c r="P52" s="332">
        <v>5</v>
      </c>
      <c r="Q52" s="383"/>
      <c r="AB52" s="48"/>
      <c r="AC52" s="48"/>
      <c r="AD52" s="48"/>
      <c r="AE52" s="48"/>
      <c r="AF52" s="48"/>
      <c r="AG52" s="48"/>
      <c r="AH52" s="48"/>
      <c r="AI52" s="48"/>
    </row>
    <row r="53" spans="1:35" ht="15.75" x14ac:dyDescent="0.25">
      <c r="A53" s="466" t="s">
        <v>463</v>
      </c>
      <c r="B53" s="332"/>
      <c r="C53" s="332">
        <v>1</v>
      </c>
      <c r="D53" s="332">
        <v>1</v>
      </c>
      <c r="E53" s="332">
        <v>2</v>
      </c>
      <c r="F53" s="332">
        <v>2</v>
      </c>
      <c r="G53" s="332">
        <v>2</v>
      </c>
      <c r="H53" s="332">
        <v>3</v>
      </c>
      <c r="I53" s="332">
        <v>3</v>
      </c>
      <c r="J53" s="332">
        <v>3</v>
      </c>
      <c r="K53" s="332">
        <v>4</v>
      </c>
      <c r="L53" s="332">
        <v>4</v>
      </c>
      <c r="M53" s="332">
        <v>4</v>
      </c>
      <c r="N53" s="332">
        <v>5</v>
      </c>
      <c r="O53" s="332">
        <v>5</v>
      </c>
      <c r="P53" s="332">
        <v>5</v>
      </c>
      <c r="Q53" s="383"/>
      <c r="AB53" s="48"/>
      <c r="AC53" s="48"/>
      <c r="AD53" s="48"/>
      <c r="AE53" s="48"/>
      <c r="AF53" s="48"/>
      <c r="AG53" s="48"/>
      <c r="AH53" s="48"/>
      <c r="AI53" s="48"/>
    </row>
    <row r="54" spans="1:35" ht="15.75" x14ac:dyDescent="0.25">
      <c r="A54" s="466" t="s">
        <v>464</v>
      </c>
      <c r="B54" s="332" t="e">
        <v>#N/A</v>
      </c>
      <c r="C54" s="332" t="e">
        <v>#N/A</v>
      </c>
      <c r="D54" s="332" t="e">
        <v>#N/A</v>
      </c>
      <c r="E54" s="332" t="e">
        <v>#N/A</v>
      </c>
      <c r="F54" s="332" t="e">
        <v>#N/A</v>
      </c>
      <c r="G54" s="332" t="e">
        <v>#N/A</v>
      </c>
      <c r="H54" s="332" t="e">
        <v>#N/A</v>
      </c>
      <c r="I54" s="332" t="e">
        <v>#N/A</v>
      </c>
      <c r="J54" s="332" t="e">
        <v>#N/A</v>
      </c>
      <c r="K54" s="332" t="e">
        <v>#N/A</v>
      </c>
      <c r="L54" s="332" t="e">
        <v>#N/A</v>
      </c>
      <c r="M54" s="332" t="e">
        <v>#N/A</v>
      </c>
      <c r="N54" s="332" t="e">
        <v>#N/A</v>
      </c>
      <c r="O54" s="332" t="e">
        <v>#N/A</v>
      </c>
      <c r="P54" s="332" t="e">
        <v>#N/A</v>
      </c>
      <c r="Q54" s="383"/>
      <c r="AB54" s="48"/>
      <c r="AC54" s="48"/>
      <c r="AD54" s="48"/>
      <c r="AE54" s="48"/>
      <c r="AF54" s="48"/>
      <c r="AG54" s="48"/>
      <c r="AH54" s="48"/>
      <c r="AI54" s="48"/>
    </row>
    <row r="55" spans="1:35" ht="15.75" x14ac:dyDescent="0.25">
      <c r="A55" s="466" t="s">
        <v>656</v>
      </c>
      <c r="B55" s="332" t="e">
        <v>#N/A</v>
      </c>
      <c r="C55" s="332" t="e">
        <v>#N/A</v>
      </c>
      <c r="D55" s="332" t="e">
        <v>#N/A</v>
      </c>
      <c r="E55" s="332" t="e">
        <v>#N/A</v>
      </c>
      <c r="F55" s="332" t="e">
        <v>#N/A</v>
      </c>
      <c r="G55" s="332" t="e">
        <v>#N/A</v>
      </c>
      <c r="H55" s="332" t="e">
        <v>#N/A</v>
      </c>
      <c r="I55" s="332" t="e">
        <v>#N/A</v>
      </c>
      <c r="J55" s="332" t="e">
        <v>#N/A</v>
      </c>
      <c r="K55" s="332" t="e">
        <v>#N/A</v>
      </c>
      <c r="L55" s="332" t="e">
        <v>#N/A</v>
      </c>
      <c r="M55" s="332" t="e">
        <v>#N/A</v>
      </c>
      <c r="N55" s="332" t="e">
        <v>#N/A</v>
      </c>
      <c r="O55" s="332" t="e">
        <v>#N/A</v>
      </c>
      <c r="P55" s="332" t="e">
        <v>#N/A</v>
      </c>
      <c r="Q55" s="383"/>
      <c r="AB55" s="48"/>
      <c r="AC55" s="48"/>
      <c r="AD55" s="48"/>
      <c r="AE55" s="48"/>
      <c r="AF55" s="48"/>
      <c r="AG55" s="48"/>
      <c r="AH55" s="48"/>
      <c r="AI55" s="48"/>
    </row>
    <row r="56" spans="1:35" ht="15.75" x14ac:dyDescent="0.25">
      <c r="A56" s="466" t="s">
        <v>465</v>
      </c>
      <c r="B56" s="332" t="e">
        <v>#N/A</v>
      </c>
      <c r="C56" s="332" t="e">
        <v>#N/A</v>
      </c>
      <c r="D56" s="332" t="e">
        <v>#N/A</v>
      </c>
      <c r="E56" s="332" t="e">
        <v>#N/A</v>
      </c>
      <c r="F56" s="332" t="e">
        <v>#N/A</v>
      </c>
      <c r="G56" s="332" t="e">
        <v>#N/A</v>
      </c>
      <c r="H56" s="332" t="e">
        <v>#N/A</v>
      </c>
      <c r="I56" s="332" t="e">
        <v>#N/A</v>
      </c>
      <c r="J56" s="332" t="e">
        <v>#N/A</v>
      </c>
      <c r="K56" s="332" t="e">
        <v>#N/A</v>
      </c>
      <c r="L56" s="332" t="e">
        <v>#N/A</v>
      </c>
      <c r="M56" s="332" t="e">
        <v>#N/A</v>
      </c>
      <c r="N56" s="332" t="e">
        <v>#N/A</v>
      </c>
      <c r="O56" s="332" t="e">
        <v>#N/A</v>
      </c>
      <c r="P56" s="332" t="e">
        <v>#N/A</v>
      </c>
      <c r="Q56" s="383"/>
      <c r="AB56" s="48"/>
      <c r="AC56" s="48"/>
      <c r="AD56" s="48"/>
      <c r="AE56" s="48"/>
      <c r="AF56" s="48"/>
      <c r="AG56" s="48"/>
      <c r="AH56" s="48"/>
      <c r="AI56" s="48"/>
    </row>
    <row r="57" spans="1:35" ht="15.75" x14ac:dyDescent="0.25">
      <c r="A57" s="467" t="str">
        <f>IF(wp_custom1="", "", wp_custom1)</f>
        <v>W.P. #1</v>
      </c>
      <c r="B57" s="332">
        <f>Customize!L51</f>
        <v>0</v>
      </c>
      <c r="C57" s="332">
        <f>Customize!L52</f>
        <v>0</v>
      </c>
      <c r="D57" s="332">
        <f>Customize!L53</f>
        <v>0</v>
      </c>
      <c r="E57" s="332">
        <f>Customize!L54</f>
        <v>0</v>
      </c>
      <c r="F57" s="332">
        <f>Customize!L55</f>
        <v>0</v>
      </c>
      <c r="G57" s="332">
        <f>Customize!L56</f>
        <v>0</v>
      </c>
      <c r="H57" s="332">
        <f>Customize!L57</f>
        <v>0</v>
      </c>
      <c r="I57" s="332">
        <f>Customize!L58</f>
        <v>0</v>
      </c>
      <c r="J57" s="332">
        <f>Customize!L59</f>
        <v>0</v>
      </c>
      <c r="K57" s="332">
        <f>Customize!L60</f>
        <v>0</v>
      </c>
      <c r="L57" s="332">
        <f>Customize!L61</f>
        <v>0</v>
      </c>
      <c r="M57" s="332">
        <f>Customize!L62</f>
        <v>0</v>
      </c>
      <c r="N57" s="332">
        <f>Customize!L63</f>
        <v>0</v>
      </c>
      <c r="O57" s="332">
        <f>Customize!L64</f>
        <v>0</v>
      </c>
      <c r="P57" s="332">
        <f>Customize!L65</f>
        <v>0</v>
      </c>
      <c r="Q57" s="383"/>
      <c r="AB57" s="48"/>
      <c r="AC57" s="48"/>
      <c r="AD57" s="48"/>
      <c r="AE57" s="48"/>
      <c r="AF57" s="48"/>
      <c r="AG57" s="48"/>
      <c r="AH57" s="48"/>
      <c r="AI57" s="48"/>
    </row>
    <row r="58" spans="1:35" ht="15.75" x14ac:dyDescent="0.25">
      <c r="A58" s="467" t="str">
        <f>IF(wp_custom2="", "", wp_custom2)</f>
        <v>W.P. #2</v>
      </c>
      <c r="B58" s="332">
        <f>Customize!C72</f>
        <v>0</v>
      </c>
      <c r="C58" s="332">
        <f>Customize!C73</f>
        <v>0</v>
      </c>
      <c r="D58" s="332">
        <f>Customize!C74</f>
        <v>0</v>
      </c>
      <c r="E58" s="332">
        <f>Customize!C75</f>
        <v>0</v>
      </c>
      <c r="F58" s="332">
        <f>Customize!C76</f>
        <v>0</v>
      </c>
      <c r="G58" s="332">
        <f>Customize!C77</f>
        <v>0</v>
      </c>
      <c r="H58" s="332">
        <f>Customize!C78</f>
        <v>0</v>
      </c>
      <c r="I58" s="332">
        <f>Customize!C79</f>
        <v>0</v>
      </c>
      <c r="J58" s="332">
        <f>Customize!C80</f>
        <v>0</v>
      </c>
      <c r="K58" s="332">
        <f>Customize!C81</f>
        <v>0</v>
      </c>
      <c r="L58" s="332">
        <f>Customize!C82</f>
        <v>0</v>
      </c>
      <c r="M58" s="332">
        <f>Customize!C83</f>
        <v>0</v>
      </c>
      <c r="N58" s="332">
        <f>Customize!C84</f>
        <v>0</v>
      </c>
      <c r="O58" s="332">
        <f>Customize!C85</f>
        <v>0</v>
      </c>
      <c r="P58" s="332">
        <f>Customize!C86</f>
        <v>0</v>
      </c>
      <c r="Q58" s="383"/>
      <c r="AB58" s="48"/>
      <c r="AC58" s="48"/>
      <c r="AD58" s="48"/>
      <c r="AE58" s="48"/>
      <c r="AF58" s="48"/>
      <c r="AG58" s="48"/>
      <c r="AH58" s="48"/>
      <c r="AI58" s="48"/>
    </row>
    <row r="59" spans="1:35" ht="15.75" x14ac:dyDescent="0.25">
      <c r="A59" s="467" t="str">
        <f>IF(wp_custom3="", "", wp_custom3)</f>
        <v>W.P. #3</v>
      </c>
      <c r="B59" s="332">
        <f>Customize!L72</f>
        <v>0</v>
      </c>
      <c r="C59" s="332">
        <f>Customize!L73</f>
        <v>0</v>
      </c>
      <c r="D59" s="332">
        <f>Customize!L74</f>
        <v>0</v>
      </c>
      <c r="E59" s="332">
        <f>Customize!L75</f>
        <v>0</v>
      </c>
      <c r="F59" s="332">
        <f>Customize!L76</f>
        <v>0</v>
      </c>
      <c r="G59" s="332">
        <f>Customize!L77</f>
        <v>0</v>
      </c>
      <c r="H59" s="332">
        <f>Customize!L78</f>
        <v>0</v>
      </c>
      <c r="I59" s="332">
        <f>Customize!L79</f>
        <v>0</v>
      </c>
      <c r="J59" s="332">
        <f>Customize!L80</f>
        <v>0</v>
      </c>
      <c r="K59" s="332">
        <f>Customize!L81</f>
        <v>0</v>
      </c>
      <c r="L59" s="332">
        <f>Customize!L82</f>
        <v>0</v>
      </c>
      <c r="M59" s="332">
        <f>Customize!L83</f>
        <v>0</v>
      </c>
      <c r="N59" s="332">
        <f>Customize!L84</f>
        <v>0</v>
      </c>
      <c r="O59" s="332">
        <f>Customize!L85</f>
        <v>0</v>
      </c>
      <c r="P59" s="332">
        <f>Customize!L86</f>
        <v>0</v>
      </c>
      <c r="Q59" s="383"/>
      <c r="AB59" s="48"/>
      <c r="AC59" s="48"/>
      <c r="AD59" s="48"/>
      <c r="AE59" s="48"/>
      <c r="AF59" s="48"/>
      <c r="AG59" s="48"/>
      <c r="AH59" s="48"/>
      <c r="AI59" s="48"/>
    </row>
    <row r="60" spans="1:35" x14ac:dyDescent="0.25">
      <c r="A60" s="383"/>
      <c r="B60" s="383"/>
      <c r="C60" s="383"/>
      <c r="D60" s="383"/>
      <c r="E60" s="383"/>
      <c r="F60" s="383"/>
      <c r="G60" s="383"/>
      <c r="H60" s="383"/>
      <c r="I60" s="383"/>
      <c r="J60" s="383"/>
      <c r="K60" s="383"/>
      <c r="L60" s="383"/>
      <c r="M60" s="383"/>
      <c r="N60" s="383"/>
      <c r="O60" s="383"/>
      <c r="P60" s="383"/>
      <c r="Q60" s="383"/>
      <c r="AB60" s="48"/>
      <c r="AC60" s="48"/>
      <c r="AD60" s="48"/>
      <c r="AE60" s="48"/>
      <c r="AF60" s="48"/>
      <c r="AG60" s="48"/>
      <c r="AH60" s="48"/>
      <c r="AI60" s="48"/>
    </row>
    <row r="61" spans="1:35" x14ac:dyDescent="0.25">
      <c r="A61" s="1460" t="s">
        <v>298</v>
      </c>
      <c r="B61" s="1460"/>
      <c r="C61" s="1460"/>
      <c r="D61" s="1460"/>
      <c r="E61" s="1460"/>
      <c r="F61" s="1460"/>
      <c r="G61" s="1460"/>
      <c r="H61" s="1460"/>
      <c r="I61" s="1460"/>
      <c r="J61" s="1460"/>
      <c r="K61" s="1460"/>
      <c r="L61" s="1460"/>
      <c r="M61" s="1460"/>
      <c r="N61" s="1460"/>
      <c r="O61" s="1460"/>
      <c r="P61" s="1460"/>
      <c r="Q61" s="383"/>
      <c r="AB61" s="48"/>
      <c r="AC61" s="48"/>
      <c r="AD61" s="48"/>
      <c r="AE61" s="48"/>
      <c r="AF61" s="48"/>
      <c r="AG61" s="48"/>
      <c r="AH61" s="48"/>
      <c r="AI61" s="48"/>
    </row>
    <row r="62" spans="1:35" x14ac:dyDescent="0.25">
      <c r="A62" s="332"/>
      <c r="B62" s="465">
        <v>1</v>
      </c>
      <c r="C62" s="465">
        <v>2</v>
      </c>
      <c r="D62" s="465">
        <v>3</v>
      </c>
      <c r="E62" s="465">
        <v>4</v>
      </c>
      <c r="F62" s="465">
        <v>5</v>
      </c>
      <c r="G62" s="465">
        <v>6</v>
      </c>
      <c r="H62" s="465">
        <v>7</v>
      </c>
      <c r="I62" s="465">
        <v>8</v>
      </c>
      <c r="J62" s="465">
        <v>9</v>
      </c>
      <c r="K62" s="465">
        <v>10</v>
      </c>
      <c r="L62" s="465">
        <v>11</v>
      </c>
      <c r="M62" s="465">
        <v>12</v>
      </c>
      <c r="N62" s="465">
        <v>13</v>
      </c>
      <c r="O62" s="465">
        <v>14</v>
      </c>
      <c r="P62" s="465">
        <v>15</v>
      </c>
      <c r="Q62" s="383"/>
      <c r="AB62" s="48"/>
      <c r="AC62" s="48"/>
      <c r="AD62" s="48"/>
      <c r="AE62" s="48"/>
      <c r="AF62" s="48"/>
      <c r="AG62" s="48"/>
      <c r="AH62" s="48"/>
      <c r="AI62" s="48"/>
    </row>
    <row r="63" spans="1:35" ht="15.75" x14ac:dyDescent="0.25">
      <c r="A63" s="466" t="s">
        <v>444</v>
      </c>
      <c r="B63" s="332"/>
      <c r="C63" s="332"/>
      <c r="D63" s="332"/>
      <c r="E63" s="332"/>
      <c r="F63" s="332"/>
      <c r="G63" s="332"/>
      <c r="H63" s="332"/>
      <c r="I63" s="332"/>
      <c r="J63" s="332"/>
      <c r="K63" s="332"/>
      <c r="L63" s="332"/>
      <c r="M63" s="332"/>
      <c r="N63" s="332"/>
      <c r="O63" s="332"/>
      <c r="P63" s="332"/>
      <c r="Q63" s="383"/>
      <c r="AB63" s="48"/>
      <c r="AC63" s="48"/>
      <c r="AD63" s="48"/>
      <c r="AE63" s="48"/>
      <c r="AF63" s="48"/>
      <c r="AG63" s="48"/>
      <c r="AH63" s="48"/>
      <c r="AI63" s="48"/>
    </row>
    <row r="64" spans="1:35" ht="15.75" x14ac:dyDescent="0.25">
      <c r="A64" s="466" t="s">
        <v>446</v>
      </c>
      <c r="B64" s="332"/>
      <c r="C64" s="332">
        <v>1</v>
      </c>
      <c r="D64" s="332">
        <v>1</v>
      </c>
      <c r="E64" s="332">
        <v>2</v>
      </c>
      <c r="F64" s="332">
        <v>2</v>
      </c>
      <c r="G64" s="332">
        <v>2</v>
      </c>
      <c r="H64" s="332">
        <v>2</v>
      </c>
      <c r="I64" s="332">
        <v>3</v>
      </c>
      <c r="J64" s="332">
        <v>3</v>
      </c>
      <c r="K64" s="332">
        <v>3</v>
      </c>
      <c r="L64" s="332">
        <v>3</v>
      </c>
      <c r="M64" s="332">
        <v>4</v>
      </c>
      <c r="N64" s="332">
        <v>4</v>
      </c>
      <c r="O64" s="332">
        <v>4</v>
      </c>
      <c r="P64" s="332">
        <v>4</v>
      </c>
      <c r="Q64" s="383"/>
      <c r="AB64" s="48"/>
      <c r="AC64" s="48"/>
      <c r="AD64" s="48"/>
      <c r="AE64" s="48"/>
      <c r="AF64" s="48"/>
      <c r="AG64" s="48"/>
      <c r="AH64" s="48"/>
      <c r="AI64" s="48"/>
    </row>
    <row r="65" spans="1:35" ht="15.75" x14ac:dyDescent="0.25">
      <c r="A65" s="466" t="s">
        <v>447</v>
      </c>
      <c r="B65" s="332"/>
      <c r="C65" s="332"/>
      <c r="D65" s="332"/>
      <c r="E65" s="332"/>
      <c r="F65" s="332">
        <v>1</v>
      </c>
      <c r="G65" s="332">
        <v>1</v>
      </c>
      <c r="H65" s="332">
        <v>1</v>
      </c>
      <c r="I65" s="332">
        <v>1</v>
      </c>
      <c r="J65" s="332">
        <v>1</v>
      </c>
      <c r="K65" s="332">
        <v>2</v>
      </c>
      <c r="L65" s="332">
        <v>2</v>
      </c>
      <c r="M65" s="332">
        <v>2</v>
      </c>
      <c r="N65" s="332">
        <v>2</v>
      </c>
      <c r="O65" s="332">
        <v>2</v>
      </c>
      <c r="P65" s="332">
        <v>3</v>
      </c>
      <c r="Q65" s="383"/>
      <c r="AB65" s="48"/>
      <c r="AC65" s="48"/>
      <c r="AD65" s="48"/>
      <c r="AE65" s="48"/>
      <c r="AF65" s="48"/>
      <c r="AG65" s="48"/>
      <c r="AH65" s="48"/>
      <c r="AI65" s="48"/>
    </row>
    <row r="66" spans="1:35" ht="15.75" x14ac:dyDescent="0.25">
      <c r="A66" s="466" t="s">
        <v>448</v>
      </c>
      <c r="B66" s="332"/>
      <c r="C66" s="332">
        <v>1</v>
      </c>
      <c r="D66" s="332">
        <v>1</v>
      </c>
      <c r="E66" s="332">
        <v>1</v>
      </c>
      <c r="F66" s="332">
        <v>2</v>
      </c>
      <c r="G66" s="332">
        <v>2</v>
      </c>
      <c r="H66" s="332">
        <v>2</v>
      </c>
      <c r="I66" s="332">
        <v>2</v>
      </c>
      <c r="J66" s="332">
        <v>2</v>
      </c>
      <c r="K66" s="332">
        <v>3</v>
      </c>
      <c r="L66" s="332">
        <v>3</v>
      </c>
      <c r="M66" s="332">
        <v>3</v>
      </c>
      <c r="N66" s="332">
        <v>3</v>
      </c>
      <c r="O66" s="332">
        <v>3</v>
      </c>
      <c r="P66" s="332">
        <v>4</v>
      </c>
      <c r="Q66" s="383"/>
      <c r="AB66" s="48"/>
      <c r="AC66" s="48"/>
      <c r="AD66" s="48"/>
      <c r="AE66" s="48"/>
      <c r="AF66" s="48"/>
      <c r="AG66" s="48"/>
      <c r="AH66" s="48"/>
      <c r="AI66" s="48"/>
    </row>
    <row r="67" spans="1:35" ht="15.75" x14ac:dyDescent="0.25">
      <c r="A67" s="466" t="s">
        <v>449</v>
      </c>
      <c r="B67" s="332"/>
      <c r="C67" s="332"/>
      <c r="D67" s="332"/>
      <c r="E67" s="332"/>
      <c r="F67" s="332"/>
      <c r="G67" s="332"/>
      <c r="H67" s="332"/>
      <c r="I67" s="332"/>
      <c r="J67" s="332"/>
      <c r="K67" s="332"/>
      <c r="L67" s="332"/>
      <c r="M67" s="332"/>
      <c r="N67" s="332"/>
      <c r="O67" s="332"/>
      <c r="P67" s="332"/>
      <c r="Q67" s="383"/>
      <c r="AB67" s="48"/>
      <c r="AC67" s="48"/>
      <c r="AD67" s="48"/>
      <c r="AE67" s="48"/>
      <c r="AF67" s="48"/>
      <c r="AG67" s="48"/>
      <c r="AH67" s="48"/>
      <c r="AI67" s="48"/>
    </row>
    <row r="68" spans="1:35" ht="15.75" x14ac:dyDescent="0.25">
      <c r="A68" s="466" t="s">
        <v>450</v>
      </c>
      <c r="B68" s="332"/>
      <c r="C68" s="332"/>
      <c r="D68" s="332"/>
      <c r="E68" s="332">
        <v>1</v>
      </c>
      <c r="F68" s="332">
        <v>1</v>
      </c>
      <c r="G68" s="332">
        <v>1</v>
      </c>
      <c r="H68" s="332">
        <v>1</v>
      </c>
      <c r="I68" s="332">
        <v>1</v>
      </c>
      <c r="J68" s="332">
        <v>1</v>
      </c>
      <c r="K68" s="332">
        <v>2</v>
      </c>
      <c r="L68" s="332">
        <v>2</v>
      </c>
      <c r="M68" s="332">
        <v>2</v>
      </c>
      <c r="N68" s="332">
        <v>2</v>
      </c>
      <c r="O68" s="332">
        <v>2</v>
      </c>
      <c r="P68" s="332">
        <v>3</v>
      </c>
      <c r="Q68" s="383"/>
      <c r="AB68" s="48"/>
      <c r="AC68" s="48"/>
      <c r="AD68" s="48"/>
      <c r="AE68" s="48"/>
      <c r="AF68" s="48"/>
      <c r="AG68" s="48"/>
      <c r="AH68" s="48"/>
      <c r="AI68" s="48"/>
    </row>
    <row r="69" spans="1:35" ht="15.75" x14ac:dyDescent="0.25">
      <c r="A69" s="466" t="s">
        <v>451</v>
      </c>
      <c r="B69" s="332"/>
      <c r="C69" s="332"/>
      <c r="D69" s="332"/>
      <c r="E69" s="332"/>
      <c r="F69" s="332"/>
      <c r="G69" s="332"/>
      <c r="H69" s="332"/>
      <c r="I69" s="332"/>
      <c r="J69" s="332"/>
      <c r="K69" s="332"/>
      <c r="L69" s="332"/>
      <c r="M69" s="332"/>
      <c r="N69" s="332"/>
      <c r="O69" s="332"/>
      <c r="P69" s="332"/>
      <c r="Q69" s="383"/>
      <c r="AB69" s="48"/>
      <c r="AC69" s="48"/>
      <c r="AD69" s="48"/>
      <c r="AE69" s="48"/>
      <c r="AF69" s="48"/>
      <c r="AG69" s="48"/>
      <c r="AH69" s="48"/>
      <c r="AI69" s="48"/>
    </row>
    <row r="70" spans="1:35" ht="15.75" x14ac:dyDescent="0.25">
      <c r="A70" s="466" t="s">
        <v>452</v>
      </c>
      <c r="B70" s="332">
        <v>1</v>
      </c>
      <c r="C70" s="332">
        <v>1</v>
      </c>
      <c r="D70" s="332">
        <v>1</v>
      </c>
      <c r="E70" s="332">
        <v>2</v>
      </c>
      <c r="F70" s="332">
        <v>2</v>
      </c>
      <c r="G70" s="332">
        <v>2</v>
      </c>
      <c r="H70" s="332">
        <v>3</v>
      </c>
      <c r="I70" s="332">
        <v>3</v>
      </c>
      <c r="J70" s="332">
        <v>3</v>
      </c>
      <c r="K70" s="332">
        <v>4</v>
      </c>
      <c r="L70" s="332">
        <v>4</v>
      </c>
      <c r="M70" s="332">
        <v>4</v>
      </c>
      <c r="N70" s="332">
        <v>5</v>
      </c>
      <c r="O70" s="332">
        <v>5</v>
      </c>
      <c r="P70" s="332">
        <v>5</v>
      </c>
      <c r="Q70" s="383"/>
      <c r="AB70" s="48"/>
      <c r="AC70" s="48"/>
      <c r="AD70" s="48"/>
      <c r="AE70" s="48"/>
      <c r="AF70" s="48"/>
      <c r="AG70" s="48"/>
      <c r="AH70" s="48"/>
      <c r="AI70" s="48"/>
    </row>
    <row r="71" spans="1:35" ht="15.75" x14ac:dyDescent="0.25">
      <c r="A71" s="466" t="s">
        <v>657</v>
      </c>
      <c r="B71" s="332"/>
      <c r="C71" s="332"/>
      <c r="D71" s="332"/>
      <c r="E71" s="332"/>
      <c r="F71" s="332"/>
      <c r="G71" s="332"/>
      <c r="H71" s="332"/>
      <c r="I71" s="332"/>
      <c r="J71" s="332"/>
      <c r="K71" s="332"/>
      <c r="L71" s="332"/>
      <c r="M71" s="332"/>
      <c r="N71" s="332"/>
      <c r="O71" s="332"/>
      <c r="P71" s="332"/>
      <c r="Q71" s="383"/>
      <c r="AB71" s="48"/>
      <c r="AC71" s="48"/>
      <c r="AD71" s="48"/>
      <c r="AE71" s="48"/>
      <c r="AF71" s="48"/>
      <c r="AG71" s="48"/>
      <c r="AH71" s="48"/>
      <c r="AI71" s="48"/>
    </row>
    <row r="72" spans="1:35" ht="15.75" x14ac:dyDescent="0.25">
      <c r="A72" s="466" t="s">
        <v>453</v>
      </c>
      <c r="B72" s="332">
        <v>1</v>
      </c>
      <c r="C72" s="332">
        <v>1</v>
      </c>
      <c r="D72" s="332">
        <v>2</v>
      </c>
      <c r="E72" s="332">
        <v>2</v>
      </c>
      <c r="F72" s="332">
        <v>2</v>
      </c>
      <c r="G72" s="332">
        <v>3</v>
      </c>
      <c r="H72" s="332">
        <v>3</v>
      </c>
      <c r="I72" s="332">
        <v>4</v>
      </c>
      <c r="J72" s="332">
        <v>4</v>
      </c>
      <c r="K72" s="332">
        <v>5</v>
      </c>
      <c r="L72" s="332">
        <v>5</v>
      </c>
      <c r="M72" s="332">
        <v>5</v>
      </c>
      <c r="N72" s="332">
        <v>6</v>
      </c>
      <c r="O72" s="332">
        <v>6</v>
      </c>
      <c r="P72" s="332">
        <v>6</v>
      </c>
      <c r="Q72" s="383"/>
      <c r="AB72" s="48"/>
      <c r="AC72" s="48"/>
      <c r="AD72" s="48"/>
      <c r="AE72" s="48"/>
      <c r="AF72" s="48"/>
      <c r="AG72" s="48"/>
      <c r="AH72" s="48"/>
      <c r="AI72" s="48"/>
    </row>
    <row r="73" spans="1:35" ht="15.75" x14ac:dyDescent="0.25">
      <c r="A73" s="466" t="s">
        <v>454</v>
      </c>
      <c r="B73" s="332"/>
      <c r="C73" s="332"/>
      <c r="D73" s="332"/>
      <c r="E73" s="332"/>
      <c r="F73" s="332"/>
      <c r="G73" s="332"/>
      <c r="H73" s="332"/>
      <c r="I73" s="332"/>
      <c r="J73" s="332"/>
      <c r="K73" s="332"/>
      <c r="L73" s="332"/>
      <c r="M73" s="332"/>
      <c r="N73" s="332"/>
      <c r="O73" s="332"/>
      <c r="P73" s="332"/>
      <c r="Q73" s="383"/>
      <c r="AB73" s="48"/>
      <c r="AC73" s="48"/>
      <c r="AD73" s="48"/>
      <c r="AE73" s="48"/>
      <c r="AF73" s="48"/>
      <c r="AG73" s="48"/>
      <c r="AH73" s="48"/>
      <c r="AI73" s="48"/>
    </row>
    <row r="74" spans="1:35" ht="15.75" x14ac:dyDescent="0.25">
      <c r="A74" s="466" t="s">
        <v>455</v>
      </c>
      <c r="B74" s="332"/>
      <c r="C74" s="332"/>
      <c r="D74" s="332"/>
      <c r="E74" s="332"/>
      <c r="F74" s="332"/>
      <c r="G74" s="332"/>
      <c r="H74" s="332"/>
      <c r="I74" s="332"/>
      <c r="J74" s="332"/>
      <c r="K74" s="332"/>
      <c r="L74" s="332"/>
      <c r="M74" s="332"/>
      <c r="N74" s="332"/>
      <c r="O74" s="332"/>
      <c r="P74" s="332"/>
      <c r="Q74" s="383"/>
      <c r="AB74" s="48"/>
      <c r="AC74" s="48"/>
      <c r="AD74" s="48"/>
      <c r="AE74" s="48"/>
      <c r="AF74" s="48"/>
      <c r="AG74" s="48"/>
      <c r="AH74" s="48"/>
      <c r="AI74" s="48"/>
    </row>
    <row r="75" spans="1:35" ht="15.75" x14ac:dyDescent="0.25">
      <c r="A75" s="466" t="s">
        <v>456</v>
      </c>
      <c r="B75" s="332"/>
      <c r="C75" s="332"/>
      <c r="D75" s="332"/>
      <c r="E75" s="332"/>
      <c r="F75" s="332"/>
      <c r="G75" s="332"/>
      <c r="H75" s="332"/>
      <c r="I75" s="332"/>
      <c r="J75" s="332"/>
      <c r="K75" s="332"/>
      <c r="L75" s="332"/>
      <c r="M75" s="332"/>
      <c r="N75" s="332"/>
      <c r="O75" s="332"/>
      <c r="P75" s="332"/>
      <c r="Q75" s="383"/>
      <c r="AB75" s="48"/>
      <c r="AC75" s="48"/>
      <c r="AD75" s="48"/>
      <c r="AE75" s="48"/>
      <c r="AF75" s="48"/>
      <c r="AG75" s="48"/>
      <c r="AH75" s="48"/>
      <c r="AI75" s="48"/>
    </row>
    <row r="76" spans="1:35" ht="15.75" x14ac:dyDescent="0.25">
      <c r="A76" s="466" t="s">
        <v>457</v>
      </c>
      <c r="B76" s="332"/>
      <c r="C76" s="332"/>
      <c r="D76" s="332"/>
      <c r="E76" s="332"/>
      <c r="F76" s="332"/>
      <c r="G76" s="332"/>
      <c r="H76" s="332"/>
      <c r="I76" s="332"/>
      <c r="J76" s="332"/>
      <c r="K76" s="332"/>
      <c r="L76" s="332"/>
      <c r="M76" s="332"/>
      <c r="N76" s="332"/>
      <c r="O76" s="332"/>
      <c r="P76" s="332"/>
      <c r="Q76" s="383"/>
      <c r="AB76" s="48"/>
      <c r="AC76" s="48"/>
      <c r="AD76" s="48"/>
      <c r="AE76" s="48"/>
      <c r="AF76" s="48"/>
      <c r="AG76" s="48"/>
      <c r="AH76" s="48"/>
      <c r="AI76" s="48"/>
    </row>
    <row r="77" spans="1:35" ht="15.75" x14ac:dyDescent="0.25">
      <c r="A77" s="466" t="s">
        <v>458</v>
      </c>
      <c r="B77" s="332"/>
      <c r="C77" s="332"/>
      <c r="D77" s="332">
        <v>1</v>
      </c>
      <c r="E77" s="332">
        <v>1</v>
      </c>
      <c r="F77" s="332">
        <v>1</v>
      </c>
      <c r="G77" s="332">
        <v>1</v>
      </c>
      <c r="H77" s="332">
        <v>2</v>
      </c>
      <c r="I77" s="332">
        <v>2</v>
      </c>
      <c r="J77" s="332">
        <v>2</v>
      </c>
      <c r="K77" s="332">
        <v>2</v>
      </c>
      <c r="L77" s="332">
        <v>2</v>
      </c>
      <c r="M77" s="332">
        <v>3</v>
      </c>
      <c r="N77" s="332">
        <v>3</v>
      </c>
      <c r="O77" s="332">
        <v>3</v>
      </c>
      <c r="P77" s="332">
        <v>3</v>
      </c>
      <c r="Q77" s="383"/>
      <c r="AB77" s="48"/>
      <c r="AC77" s="48"/>
      <c r="AD77" s="48"/>
      <c r="AE77" s="48"/>
      <c r="AF77" s="48"/>
      <c r="AG77" s="48"/>
      <c r="AH77" s="48"/>
      <c r="AI77" s="48"/>
    </row>
    <row r="78" spans="1:35" ht="15.75" x14ac:dyDescent="0.25">
      <c r="A78" s="466" t="s">
        <v>459</v>
      </c>
      <c r="B78" s="332"/>
      <c r="C78" s="332"/>
      <c r="D78" s="332"/>
      <c r="E78" s="332"/>
      <c r="F78" s="332"/>
      <c r="G78" s="332"/>
      <c r="H78" s="332"/>
      <c r="I78" s="332"/>
      <c r="J78" s="332"/>
      <c r="K78" s="332"/>
      <c r="L78" s="332"/>
      <c r="M78" s="332"/>
      <c r="N78" s="332"/>
      <c r="O78" s="332"/>
      <c r="P78" s="332"/>
      <c r="Q78" s="383"/>
      <c r="AB78" s="48"/>
      <c r="AC78" s="48"/>
      <c r="AD78" s="48"/>
      <c r="AE78" s="48"/>
      <c r="AF78" s="48"/>
      <c r="AG78" s="48"/>
      <c r="AH78" s="48"/>
      <c r="AI78" s="48"/>
    </row>
    <row r="79" spans="1:35" ht="15.75" x14ac:dyDescent="0.25">
      <c r="A79" s="466" t="s">
        <v>460</v>
      </c>
      <c r="B79" s="332"/>
      <c r="C79" s="332"/>
      <c r="D79" s="332"/>
      <c r="E79" s="332"/>
      <c r="F79" s="332"/>
      <c r="G79" s="332"/>
      <c r="H79" s="332"/>
      <c r="I79" s="332"/>
      <c r="J79" s="332"/>
      <c r="K79" s="332"/>
      <c r="L79" s="332"/>
      <c r="M79" s="332"/>
      <c r="N79" s="332"/>
      <c r="O79" s="332"/>
      <c r="P79" s="332"/>
      <c r="Q79" s="383"/>
      <c r="AB79" s="48"/>
      <c r="AC79" s="48"/>
      <c r="AD79" s="48"/>
      <c r="AE79" s="48"/>
      <c r="AF79" s="48"/>
      <c r="AG79" s="48"/>
      <c r="AH79" s="48"/>
      <c r="AI79" s="48"/>
    </row>
    <row r="80" spans="1:35" ht="15.75" x14ac:dyDescent="0.25">
      <c r="A80" s="466" t="s">
        <v>461</v>
      </c>
      <c r="B80" s="332"/>
      <c r="C80" s="332"/>
      <c r="D80" s="332">
        <v>1</v>
      </c>
      <c r="E80" s="332">
        <v>1</v>
      </c>
      <c r="F80" s="332">
        <v>1</v>
      </c>
      <c r="G80" s="332">
        <v>2</v>
      </c>
      <c r="H80" s="332">
        <v>2</v>
      </c>
      <c r="I80" s="332">
        <v>2</v>
      </c>
      <c r="J80" s="332">
        <v>2</v>
      </c>
      <c r="K80" s="332">
        <v>3</v>
      </c>
      <c r="L80" s="332">
        <v>3</v>
      </c>
      <c r="M80" s="332">
        <v>3</v>
      </c>
      <c r="N80" s="332">
        <v>3</v>
      </c>
      <c r="O80" s="332">
        <v>4</v>
      </c>
      <c r="P80" s="332">
        <v>4</v>
      </c>
      <c r="Q80" s="383"/>
      <c r="AB80" s="48"/>
      <c r="AC80" s="48"/>
      <c r="AD80" s="48"/>
      <c r="AE80" s="48"/>
      <c r="AF80" s="48"/>
      <c r="AG80" s="48"/>
      <c r="AH80" s="48"/>
      <c r="AI80" s="48"/>
    </row>
    <row r="81" spans="1:35" ht="15.75" x14ac:dyDescent="0.25">
      <c r="A81" s="466" t="s">
        <v>462</v>
      </c>
      <c r="B81" s="332"/>
      <c r="C81" s="332"/>
      <c r="D81" s="332"/>
      <c r="E81" s="332"/>
      <c r="F81" s="332">
        <v>1</v>
      </c>
      <c r="G81" s="332">
        <v>1</v>
      </c>
      <c r="H81" s="332">
        <v>1</v>
      </c>
      <c r="I81" s="332">
        <v>1</v>
      </c>
      <c r="J81" s="332">
        <v>1</v>
      </c>
      <c r="K81" s="332">
        <v>2</v>
      </c>
      <c r="L81" s="332">
        <v>2</v>
      </c>
      <c r="M81" s="332">
        <v>2</v>
      </c>
      <c r="N81" s="332">
        <v>2</v>
      </c>
      <c r="O81" s="332">
        <v>2</v>
      </c>
      <c r="P81" s="332">
        <v>3</v>
      </c>
      <c r="Q81" s="383"/>
      <c r="AB81" s="48"/>
      <c r="AC81" s="48"/>
      <c r="AD81" s="48"/>
      <c r="AE81" s="48"/>
      <c r="AF81" s="48"/>
      <c r="AG81" s="48"/>
      <c r="AH81" s="48"/>
      <c r="AI81" s="48"/>
    </row>
    <row r="82" spans="1:35" ht="15.75" x14ac:dyDescent="0.25">
      <c r="A82" s="466" t="s">
        <v>463</v>
      </c>
      <c r="B82" s="332"/>
      <c r="C82" s="332"/>
      <c r="D82" s="332"/>
      <c r="E82" s="332">
        <v>1</v>
      </c>
      <c r="F82" s="332">
        <v>1</v>
      </c>
      <c r="G82" s="332">
        <v>1</v>
      </c>
      <c r="H82" s="332">
        <v>1</v>
      </c>
      <c r="I82" s="332">
        <v>2</v>
      </c>
      <c r="J82" s="332">
        <v>2</v>
      </c>
      <c r="K82" s="332">
        <v>2</v>
      </c>
      <c r="L82" s="332">
        <v>2</v>
      </c>
      <c r="M82" s="332">
        <v>3</v>
      </c>
      <c r="N82" s="332">
        <v>3</v>
      </c>
      <c r="O82" s="332">
        <v>3</v>
      </c>
      <c r="P82" s="332">
        <v>3</v>
      </c>
      <c r="Q82" s="383"/>
      <c r="AB82" s="48"/>
      <c r="AC82" s="48"/>
      <c r="AD82" s="48"/>
      <c r="AE82" s="48"/>
      <c r="AF82" s="48"/>
      <c r="AG82" s="48"/>
      <c r="AH82" s="48"/>
      <c r="AI82" s="48"/>
    </row>
    <row r="83" spans="1:35" ht="15.75" x14ac:dyDescent="0.25">
      <c r="A83" s="466" t="s">
        <v>464</v>
      </c>
      <c r="B83" s="332">
        <v>1</v>
      </c>
      <c r="C83" s="332">
        <v>1</v>
      </c>
      <c r="D83" s="332">
        <v>2</v>
      </c>
      <c r="E83" s="332">
        <v>2</v>
      </c>
      <c r="F83" s="332">
        <v>3</v>
      </c>
      <c r="G83" s="332">
        <v>3</v>
      </c>
      <c r="H83" s="332">
        <v>4</v>
      </c>
      <c r="I83" s="332">
        <v>4</v>
      </c>
      <c r="J83" s="332">
        <v>4</v>
      </c>
      <c r="K83" s="332">
        <v>5</v>
      </c>
      <c r="L83" s="332">
        <v>5</v>
      </c>
      <c r="M83" s="332">
        <v>5</v>
      </c>
      <c r="N83" s="332">
        <v>6</v>
      </c>
      <c r="O83" s="332">
        <v>6</v>
      </c>
      <c r="P83" s="332">
        <v>6</v>
      </c>
      <c r="Q83" s="383"/>
      <c r="AB83" s="48"/>
      <c r="AC83" s="48"/>
      <c r="AD83" s="48"/>
      <c r="AE83" s="48"/>
      <c r="AF83" s="48"/>
      <c r="AG83" s="48"/>
      <c r="AH83" s="48"/>
      <c r="AI83" s="48"/>
    </row>
    <row r="84" spans="1:35" ht="15.75" x14ac:dyDescent="0.25">
      <c r="A84" s="466" t="s">
        <v>656</v>
      </c>
      <c r="B84" s="332">
        <v>1</v>
      </c>
      <c r="C84" s="332">
        <v>1</v>
      </c>
      <c r="D84" s="332">
        <v>2</v>
      </c>
      <c r="E84" s="332">
        <v>2</v>
      </c>
      <c r="F84" s="332">
        <v>3</v>
      </c>
      <c r="G84" s="332">
        <v>3</v>
      </c>
      <c r="H84" s="332">
        <v>4</v>
      </c>
      <c r="I84" s="332">
        <v>4</v>
      </c>
      <c r="J84" s="332">
        <v>4</v>
      </c>
      <c r="K84" s="332">
        <v>5</v>
      </c>
      <c r="L84" s="332">
        <v>5</v>
      </c>
      <c r="M84" s="332">
        <v>5</v>
      </c>
      <c r="N84" s="332">
        <v>6</v>
      </c>
      <c r="O84" s="332">
        <v>6</v>
      </c>
      <c r="P84" s="332">
        <v>6</v>
      </c>
      <c r="Q84" s="383"/>
      <c r="AB84" s="48"/>
      <c r="AC84" s="48"/>
      <c r="AD84" s="48"/>
      <c r="AE84" s="48"/>
      <c r="AF84" s="48"/>
      <c r="AG84" s="48"/>
      <c r="AH84" s="48"/>
      <c r="AI84" s="48"/>
    </row>
    <row r="85" spans="1:35" ht="15.75" x14ac:dyDescent="0.25">
      <c r="A85" s="466" t="s">
        <v>465</v>
      </c>
      <c r="B85" s="332"/>
      <c r="C85" s="332"/>
      <c r="D85" s="332"/>
      <c r="E85" s="332"/>
      <c r="F85" s="332"/>
      <c r="G85" s="332"/>
      <c r="H85" s="332"/>
      <c r="I85" s="332"/>
      <c r="J85" s="332"/>
      <c r="K85" s="332"/>
      <c r="L85" s="332"/>
      <c r="M85" s="332"/>
      <c r="N85" s="332"/>
      <c r="O85" s="332"/>
      <c r="P85" s="332"/>
      <c r="Q85" s="383"/>
      <c r="AB85" s="48"/>
      <c r="AC85" s="48"/>
      <c r="AD85" s="48"/>
      <c r="AE85" s="48"/>
      <c r="AF85" s="48"/>
      <c r="AG85" s="48"/>
      <c r="AH85" s="48"/>
      <c r="AI85" s="48"/>
    </row>
    <row r="86" spans="1:35" ht="15.75" x14ac:dyDescent="0.25">
      <c r="A86" s="467" t="str">
        <f>IF(wp_custom1="", "", wp_custom1)</f>
        <v>W.P. #1</v>
      </c>
      <c r="B86" s="332">
        <f>Customize!M51</f>
        <v>0</v>
      </c>
      <c r="C86" s="332">
        <f>Customize!M52</f>
        <v>0</v>
      </c>
      <c r="D86" s="332">
        <f>Customize!M53</f>
        <v>0</v>
      </c>
      <c r="E86" s="332">
        <f>Customize!M54</f>
        <v>0</v>
      </c>
      <c r="F86" s="332">
        <f>Customize!M55</f>
        <v>0</v>
      </c>
      <c r="G86" s="332">
        <f>Customize!M56</f>
        <v>0</v>
      </c>
      <c r="H86" s="332">
        <f>Customize!M57</f>
        <v>0</v>
      </c>
      <c r="I86" s="332">
        <f>Customize!M58</f>
        <v>0</v>
      </c>
      <c r="J86" s="332">
        <f>Customize!M59</f>
        <v>0</v>
      </c>
      <c r="K86" s="332">
        <f>Customize!M60</f>
        <v>0</v>
      </c>
      <c r="L86" s="332">
        <f>Customize!M61</f>
        <v>0</v>
      </c>
      <c r="M86" s="332">
        <f>Customize!M62</f>
        <v>0</v>
      </c>
      <c r="N86" s="332">
        <f>Customize!M63</f>
        <v>0</v>
      </c>
      <c r="O86" s="332">
        <f>Customize!M64</f>
        <v>0</v>
      </c>
      <c r="P86" s="332">
        <f>Customize!M65</f>
        <v>0</v>
      </c>
      <c r="Q86" s="383"/>
      <c r="AB86" s="48"/>
      <c r="AC86" s="48"/>
      <c r="AD86" s="48"/>
      <c r="AE86" s="48"/>
      <c r="AF86" s="48"/>
      <c r="AG86" s="48"/>
      <c r="AH86" s="48"/>
      <c r="AI86" s="48"/>
    </row>
    <row r="87" spans="1:35" ht="15.75" x14ac:dyDescent="0.25">
      <c r="A87" s="467" t="str">
        <f>IF(wp_custom2="", "", wp_custom2)</f>
        <v>W.P. #2</v>
      </c>
      <c r="B87" s="332">
        <f>Customize!D72</f>
        <v>0</v>
      </c>
      <c r="C87" s="332">
        <f>Customize!D73</f>
        <v>0</v>
      </c>
      <c r="D87" s="332">
        <f>Customize!D74</f>
        <v>0</v>
      </c>
      <c r="E87" s="332">
        <f>Customize!D75</f>
        <v>0</v>
      </c>
      <c r="F87" s="332">
        <f>Customize!D76</f>
        <v>0</v>
      </c>
      <c r="G87" s="332">
        <f>Customize!D77</f>
        <v>0</v>
      </c>
      <c r="H87" s="332">
        <f>Customize!D78</f>
        <v>0</v>
      </c>
      <c r="I87" s="332">
        <f>Customize!D79</f>
        <v>0</v>
      </c>
      <c r="J87" s="332">
        <f>Customize!D80</f>
        <v>0</v>
      </c>
      <c r="K87" s="332">
        <f>Customize!D81</f>
        <v>0</v>
      </c>
      <c r="L87" s="332">
        <f>Customize!D82</f>
        <v>0</v>
      </c>
      <c r="M87" s="332">
        <f>Customize!D83</f>
        <v>0</v>
      </c>
      <c r="N87" s="332">
        <f>Customize!D84</f>
        <v>0</v>
      </c>
      <c r="O87" s="332">
        <f>Customize!D85</f>
        <v>0</v>
      </c>
      <c r="P87" s="332">
        <f>Customize!D86</f>
        <v>0</v>
      </c>
      <c r="Q87" s="383"/>
      <c r="AB87" s="48"/>
      <c r="AC87" s="48"/>
      <c r="AD87" s="48"/>
      <c r="AE87" s="48"/>
      <c r="AF87" s="48"/>
      <c r="AG87" s="48"/>
      <c r="AH87" s="48"/>
      <c r="AI87" s="48"/>
    </row>
    <row r="88" spans="1:35" ht="15.75" x14ac:dyDescent="0.25">
      <c r="A88" s="467" t="str">
        <f>IF(wp_custom3="", "", wp_custom3)</f>
        <v>W.P. #3</v>
      </c>
      <c r="B88" s="332">
        <f>Customize!M72</f>
        <v>0</v>
      </c>
      <c r="C88" s="332">
        <f>Customize!M73</f>
        <v>0</v>
      </c>
      <c r="D88" s="332">
        <f>Customize!M74</f>
        <v>0</v>
      </c>
      <c r="E88" s="332">
        <f>Customize!M75</f>
        <v>0</v>
      </c>
      <c r="F88" s="332">
        <f>Customize!M76</f>
        <v>0</v>
      </c>
      <c r="G88" s="332">
        <f>Customize!M77</f>
        <v>0</v>
      </c>
      <c r="H88" s="332">
        <f>Customize!M78</f>
        <v>0</v>
      </c>
      <c r="I88" s="332">
        <f>Customize!M79</f>
        <v>0</v>
      </c>
      <c r="J88" s="332">
        <f>Customize!M80</f>
        <v>0</v>
      </c>
      <c r="K88" s="332">
        <f>Customize!M81</f>
        <v>0</v>
      </c>
      <c r="L88" s="332">
        <f>Customize!M82</f>
        <v>0</v>
      </c>
      <c r="M88" s="332">
        <f>Customize!M83</f>
        <v>0</v>
      </c>
      <c r="N88" s="332">
        <f>Customize!M84</f>
        <v>0</v>
      </c>
      <c r="O88" s="332">
        <f>Customize!M85</f>
        <v>0</v>
      </c>
      <c r="P88" s="332">
        <f>Customize!M86</f>
        <v>0</v>
      </c>
      <c r="Q88" s="383"/>
      <c r="AB88" s="48"/>
      <c r="AC88" s="48"/>
      <c r="AD88" s="48"/>
      <c r="AE88" s="48"/>
      <c r="AF88" s="48"/>
      <c r="AG88" s="48"/>
      <c r="AH88" s="48"/>
      <c r="AI88" s="48"/>
    </row>
    <row r="89" spans="1:35" x14ac:dyDescent="0.25">
      <c r="A89" s="383"/>
      <c r="B89" s="383"/>
      <c r="C89" s="383"/>
      <c r="D89" s="383"/>
      <c r="E89" s="383"/>
      <c r="F89" s="383"/>
      <c r="G89" s="383"/>
      <c r="H89" s="383"/>
      <c r="I89" s="383"/>
      <c r="J89" s="383"/>
      <c r="K89" s="383"/>
      <c r="L89" s="383"/>
      <c r="M89" s="383"/>
      <c r="N89" s="383"/>
      <c r="O89" s="383"/>
      <c r="P89" s="383"/>
      <c r="Q89" s="383"/>
      <c r="AB89" s="48"/>
      <c r="AC89" s="48"/>
      <c r="AD89" s="48"/>
      <c r="AE89" s="48"/>
      <c r="AF89" s="48"/>
      <c r="AG89" s="48"/>
      <c r="AH89" s="48"/>
      <c r="AI89" s="48"/>
    </row>
    <row r="90" spans="1:35" x14ac:dyDescent="0.25">
      <c r="A90" s="1460" t="s">
        <v>240</v>
      </c>
      <c r="B90" s="1460"/>
      <c r="C90" s="1460"/>
      <c r="D90" s="1460"/>
      <c r="E90" s="1460"/>
      <c r="F90" s="1460"/>
      <c r="G90" s="1460"/>
      <c r="H90" s="1460"/>
      <c r="I90" s="1460"/>
      <c r="J90" s="1460"/>
      <c r="K90" s="1460"/>
      <c r="L90" s="1460"/>
      <c r="M90" s="1460"/>
      <c r="N90" s="1460"/>
      <c r="O90" s="1460"/>
      <c r="P90" s="1460"/>
      <c r="Q90" s="383"/>
      <c r="AB90" s="48"/>
      <c r="AC90" s="48"/>
      <c r="AD90" s="48"/>
      <c r="AE90" s="48"/>
      <c r="AF90" s="48"/>
      <c r="AG90" s="48"/>
      <c r="AH90" s="48"/>
      <c r="AI90" s="48"/>
    </row>
    <row r="91" spans="1:35" x14ac:dyDescent="0.25">
      <c r="A91" s="332"/>
      <c r="B91" s="465">
        <v>1</v>
      </c>
      <c r="C91" s="465">
        <v>2</v>
      </c>
      <c r="D91" s="465">
        <v>3</v>
      </c>
      <c r="E91" s="465">
        <v>4</v>
      </c>
      <c r="F91" s="465">
        <v>5</v>
      </c>
      <c r="G91" s="465">
        <v>6</v>
      </c>
      <c r="H91" s="465">
        <v>7</v>
      </c>
      <c r="I91" s="465">
        <v>8</v>
      </c>
      <c r="J91" s="465">
        <v>9</v>
      </c>
      <c r="K91" s="465">
        <v>10</v>
      </c>
      <c r="L91" s="465">
        <v>11</v>
      </c>
      <c r="M91" s="465">
        <v>12</v>
      </c>
      <c r="N91" s="465">
        <v>13</v>
      </c>
      <c r="O91" s="465">
        <v>14</v>
      </c>
      <c r="P91" s="465">
        <v>15</v>
      </c>
      <c r="Q91" s="383"/>
      <c r="AB91" s="48"/>
      <c r="AC91" s="48"/>
      <c r="AD91" s="48"/>
      <c r="AE91" s="48"/>
      <c r="AF91" s="48"/>
      <c r="AG91" s="48"/>
      <c r="AH91" s="48"/>
      <c r="AI91" s="48"/>
    </row>
    <row r="92" spans="1:35" ht="15.75" x14ac:dyDescent="0.25">
      <c r="A92" s="466" t="s">
        <v>444</v>
      </c>
      <c r="B92" s="332"/>
      <c r="C92" s="332"/>
      <c r="D92" s="332"/>
      <c r="E92" s="332"/>
      <c r="F92" s="332"/>
      <c r="G92" s="332"/>
      <c r="H92" s="332"/>
      <c r="I92" s="332"/>
      <c r="J92" s="332"/>
      <c r="K92" s="332"/>
      <c r="L92" s="332"/>
      <c r="M92" s="332"/>
      <c r="N92" s="332"/>
      <c r="O92" s="332"/>
      <c r="P92" s="332"/>
      <c r="Q92" s="383"/>
      <c r="AB92" s="48"/>
      <c r="AC92" s="48"/>
      <c r="AD92" s="48"/>
      <c r="AE92" s="48"/>
      <c r="AF92" s="48"/>
      <c r="AG92" s="48"/>
      <c r="AH92" s="48"/>
      <c r="AI92" s="48"/>
    </row>
    <row r="93" spans="1:35" ht="15.75" x14ac:dyDescent="0.25">
      <c r="A93" s="466" t="s">
        <v>446</v>
      </c>
      <c r="B93" s="332"/>
      <c r="C93" s="332"/>
      <c r="D93" s="332"/>
      <c r="E93" s="332"/>
      <c r="F93" s="332"/>
      <c r="G93" s="332"/>
      <c r="H93" s="332"/>
      <c r="I93" s="332"/>
      <c r="J93" s="332"/>
      <c r="K93" s="332"/>
      <c r="L93" s="332"/>
      <c r="M93" s="332"/>
      <c r="N93" s="332"/>
      <c r="O93" s="332"/>
      <c r="P93" s="332"/>
      <c r="Q93" s="383"/>
      <c r="AB93" s="48"/>
      <c r="AC93" s="48"/>
      <c r="AD93" s="48"/>
      <c r="AE93" s="48"/>
      <c r="AF93" s="48"/>
      <c r="AG93" s="48"/>
      <c r="AH93" s="48"/>
      <c r="AI93" s="48"/>
    </row>
    <row r="94" spans="1:35" ht="15.75" x14ac:dyDescent="0.25">
      <c r="A94" s="466" t="s">
        <v>447</v>
      </c>
      <c r="B94" s="332"/>
      <c r="C94" s="332"/>
      <c r="D94" s="332"/>
      <c r="E94" s="332"/>
      <c r="F94" s="332"/>
      <c r="G94" s="332"/>
      <c r="H94" s="332"/>
      <c r="I94" s="332"/>
      <c r="J94" s="332"/>
      <c r="K94" s="332"/>
      <c r="L94" s="332"/>
      <c r="M94" s="332"/>
      <c r="N94" s="332"/>
      <c r="O94" s="332"/>
      <c r="P94" s="332"/>
      <c r="Q94" s="383"/>
      <c r="AB94" s="48"/>
      <c r="AC94" s="48"/>
      <c r="AD94" s="48"/>
      <c r="AE94" s="48"/>
      <c r="AF94" s="48"/>
      <c r="AG94" s="48"/>
      <c r="AH94" s="48"/>
      <c r="AI94" s="48"/>
    </row>
    <row r="95" spans="1:35" ht="15.75" x14ac:dyDescent="0.25">
      <c r="A95" s="466" t="s">
        <v>448</v>
      </c>
      <c r="B95" s="332"/>
      <c r="C95" s="332">
        <v>1</v>
      </c>
      <c r="D95" s="332">
        <v>1</v>
      </c>
      <c r="E95" s="332">
        <v>1</v>
      </c>
      <c r="F95" s="332">
        <v>2</v>
      </c>
      <c r="G95" s="332">
        <v>2</v>
      </c>
      <c r="H95" s="332">
        <v>2</v>
      </c>
      <c r="I95" s="332">
        <v>2</v>
      </c>
      <c r="J95" s="332">
        <v>2</v>
      </c>
      <c r="K95" s="332">
        <v>3</v>
      </c>
      <c r="L95" s="332">
        <v>3</v>
      </c>
      <c r="M95" s="332">
        <v>3</v>
      </c>
      <c r="N95" s="332">
        <v>3</v>
      </c>
      <c r="O95" s="332">
        <v>3</v>
      </c>
      <c r="P95" s="332">
        <v>4</v>
      </c>
      <c r="Q95" s="383"/>
      <c r="AB95" s="48"/>
      <c r="AC95" s="48"/>
      <c r="AD95" s="48"/>
      <c r="AE95" s="48"/>
      <c r="AF95" s="48"/>
      <c r="AG95" s="48"/>
      <c r="AH95" s="48"/>
      <c r="AI95" s="48"/>
    </row>
    <row r="96" spans="1:35" ht="15.75" x14ac:dyDescent="0.25">
      <c r="A96" s="466" t="s">
        <v>449</v>
      </c>
      <c r="B96" s="332"/>
      <c r="C96" s="332"/>
      <c r="D96" s="332"/>
      <c r="E96" s="332"/>
      <c r="F96" s="332"/>
      <c r="G96" s="332"/>
      <c r="H96" s="332"/>
      <c r="I96" s="332"/>
      <c r="J96" s="332"/>
      <c r="K96" s="332"/>
      <c r="L96" s="332"/>
      <c r="M96" s="332"/>
      <c r="N96" s="332"/>
      <c r="O96" s="332"/>
      <c r="P96" s="332"/>
      <c r="Q96" s="383"/>
      <c r="AB96" s="48"/>
      <c r="AC96" s="48"/>
      <c r="AD96" s="48"/>
      <c r="AE96" s="48"/>
      <c r="AF96" s="48"/>
      <c r="AG96" s="48"/>
      <c r="AH96" s="48"/>
      <c r="AI96" s="48"/>
    </row>
    <row r="97" spans="1:35" ht="15.75" x14ac:dyDescent="0.25">
      <c r="A97" s="466" t="s">
        <v>450</v>
      </c>
      <c r="B97" s="332">
        <v>1</v>
      </c>
      <c r="C97" s="332">
        <v>1</v>
      </c>
      <c r="D97" s="332">
        <v>2</v>
      </c>
      <c r="E97" s="332">
        <v>2</v>
      </c>
      <c r="F97" s="332">
        <v>3</v>
      </c>
      <c r="G97" s="332">
        <v>3</v>
      </c>
      <c r="H97" s="332">
        <v>3</v>
      </c>
      <c r="I97" s="332">
        <v>4</v>
      </c>
      <c r="J97" s="332">
        <v>4</v>
      </c>
      <c r="K97" s="332">
        <v>4</v>
      </c>
      <c r="L97" s="332">
        <v>5</v>
      </c>
      <c r="M97" s="332">
        <v>5</v>
      </c>
      <c r="N97" s="332">
        <v>6</v>
      </c>
      <c r="O97" s="332">
        <v>6</v>
      </c>
      <c r="P97" s="332">
        <v>6</v>
      </c>
      <c r="Q97" s="383"/>
      <c r="AB97" s="48"/>
      <c r="AC97" s="48"/>
      <c r="AD97" s="48"/>
      <c r="AE97" s="48"/>
      <c r="AF97" s="48"/>
      <c r="AG97" s="48"/>
      <c r="AH97" s="48"/>
      <c r="AI97" s="48"/>
    </row>
    <row r="98" spans="1:35" ht="15.75" x14ac:dyDescent="0.25">
      <c r="A98" s="466" t="s">
        <v>451</v>
      </c>
      <c r="B98" s="332"/>
      <c r="C98" s="332"/>
      <c r="D98" s="332">
        <v>1</v>
      </c>
      <c r="E98" s="332">
        <v>1</v>
      </c>
      <c r="F98" s="332">
        <v>1</v>
      </c>
      <c r="G98" s="332">
        <v>2</v>
      </c>
      <c r="H98" s="332">
        <v>2</v>
      </c>
      <c r="I98" s="332">
        <v>2</v>
      </c>
      <c r="J98" s="332">
        <v>3</v>
      </c>
      <c r="K98" s="332">
        <v>3</v>
      </c>
      <c r="L98" s="332">
        <v>3</v>
      </c>
      <c r="M98" s="332">
        <v>4</v>
      </c>
      <c r="N98" s="332">
        <v>4</v>
      </c>
      <c r="O98" s="332">
        <v>4</v>
      </c>
      <c r="P98" s="332">
        <v>4</v>
      </c>
      <c r="Q98" s="383"/>
      <c r="AB98" s="48"/>
      <c r="AC98" s="48"/>
      <c r="AD98" s="48"/>
      <c r="AE98" s="48"/>
      <c r="AF98" s="48"/>
      <c r="AG98" s="48"/>
      <c r="AH98" s="48"/>
      <c r="AI98" s="48"/>
    </row>
    <row r="99" spans="1:35" ht="15.75" x14ac:dyDescent="0.25">
      <c r="A99" s="466" t="s">
        <v>452</v>
      </c>
      <c r="B99" s="332"/>
      <c r="C99" s="332"/>
      <c r="D99" s="332"/>
      <c r="E99" s="332"/>
      <c r="F99" s="332"/>
      <c r="G99" s="332"/>
      <c r="H99" s="332"/>
      <c r="I99" s="332"/>
      <c r="J99" s="332"/>
      <c r="K99" s="332"/>
      <c r="L99" s="332"/>
      <c r="M99" s="332"/>
      <c r="N99" s="332"/>
      <c r="O99" s="332"/>
      <c r="P99" s="332"/>
      <c r="Q99" s="383"/>
      <c r="AB99" s="48"/>
      <c r="AC99" s="48"/>
      <c r="AD99" s="48"/>
      <c r="AE99" s="48"/>
      <c r="AF99" s="48"/>
      <c r="AG99" s="48"/>
      <c r="AH99" s="48"/>
      <c r="AI99" s="48"/>
    </row>
    <row r="100" spans="1:35" ht="15.75" x14ac:dyDescent="0.25">
      <c r="A100" s="466" t="s">
        <v>657</v>
      </c>
      <c r="B100" s="332"/>
      <c r="C100" s="332"/>
      <c r="D100" s="332"/>
      <c r="E100" s="332"/>
      <c r="F100" s="332"/>
      <c r="G100" s="332"/>
      <c r="H100" s="332"/>
      <c r="I100" s="332"/>
      <c r="J100" s="332"/>
      <c r="K100" s="332"/>
      <c r="L100" s="332"/>
      <c r="M100" s="332"/>
      <c r="N100" s="332"/>
      <c r="O100" s="332"/>
      <c r="P100" s="332"/>
      <c r="Q100" s="383"/>
      <c r="AB100" s="48"/>
      <c r="AC100" s="48"/>
      <c r="AD100" s="48"/>
      <c r="AE100" s="48"/>
      <c r="AF100" s="48"/>
      <c r="AG100" s="48"/>
      <c r="AH100" s="48"/>
      <c r="AI100" s="48"/>
    </row>
    <row r="101" spans="1:35" ht="15.75" x14ac:dyDescent="0.25">
      <c r="A101" s="466" t="s">
        <v>453</v>
      </c>
      <c r="B101" s="332"/>
      <c r="C101" s="332"/>
      <c r="D101" s="332"/>
      <c r="E101" s="332"/>
      <c r="F101" s="332"/>
      <c r="G101" s="332"/>
      <c r="H101" s="332"/>
      <c r="I101" s="332"/>
      <c r="J101" s="332"/>
      <c r="K101" s="332"/>
      <c r="L101" s="332"/>
      <c r="M101" s="332"/>
      <c r="N101" s="332"/>
      <c r="O101" s="332"/>
      <c r="P101" s="332"/>
      <c r="Q101" s="383"/>
      <c r="AB101" s="48"/>
      <c r="AC101" s="48"/>
      <c r="AD101" s="48"/>
      <c r="AE101" s="48"/>
      <c r="AF101" s="48"/>
      <c r="AG101" s="48"/>
      <c r="AH101" s="48"/>
      <c r="AI101" s="48"/>
    </row>
    <row r="102" spans="1:35" ht="15.75" x14ac:dyDescent="0.25">
      <c r="A102" s="466" t="s">
        <v>454</v>
      </c>
      <c r="B102" s="332"/>
      <c r="C102" s="332"/>
      <c r="D102" s="332"/>
      <c r="E102" s="332"/>
      <c r="F102" s="332"/>
      <c r="G102" s="332"/>
      <c r="H102" s="332"/>
      <c r="I102" s="332"/>
      <c r="J102" s="332"/>
      <c r="K102" s="332"/>
      <c r="L102" s="332"/>
      <c r="M102" s="332"/>
      <c r="N102" s="332"/>
      <c r="O102" s="332"/>
      <c r="P102" s="332"/>
      <c r="Q102" s="383"/>
      <c r="AB102" s="48"/>
      <c r="AC102" s="48"/>
      <c r="AD102" s="48"/>
      <c r="AE102" s="48"/>
      <c r="AF102" s="48"/>
      <c r="AG102" s="48"/>
      <c r="AH102" s="48"/>
      <c r="AI102" s="48"/>
    </row>
    <row r="103" spans="1:35" ht="15.75" x14ac:dyDescent="0.25">
      <c r="A103" s="466" t="s">
        <v>455</v>
      </c>
      <c r="B103" s="332"/>
      <c r="C103" s="332"/>
      <c r="D103" s="332"/>
      <c r="E103" s="332"/>
      <c r="F103" s="332"/>
      <c r="G103" s="332"/>
      <c r="H103" s="332"/>
      <c r="I103" s="332"/>
      <c r="J103" s="332"/>
      <c r="K103" s="332"/>
      <c r="L103" s="332"/>
      <c r="M103" s="332"/>
      <c r="N103" s="332"/>
      <c r="O103" s="332"/>
      <c r="P103" s="332"/>
      <c r="Q103" s="383"/>
      <c r="AB103" s="48"/>
      <c r="AC103" s="48"/>
      <c r="AD103" s="48"/>
      <c r="AE103" s="48"/>
      <c r="AF103" s="48"/>
      <c r="AG103" s="48"/>
      <c r="AH103" s="48"/>
      <c r="AI103" s="48"/>
    </row>
    <row r="104" spans="1:35" ht="15.75" x14ac:dyDescent="0.25">
      <c r="A104" s="466" t="s">
        <v>456</v>
      </c>
      <c r="B104" s="332"/>
      <c r="C104" s="332">
        <v>1</v>
      </c>
      <c r="D104" s="332">
        <v>1</v>
      </c>
      <c r="E104" s="332">
        <v>1</v>
      </c>
      <c r="F104" s="332">
        <v>2</v>
      </c>
      <c r="G104" s="332">
        <v>2</v>
      </c>
      <c r="H104" s="332">
        <v>2</v>
      </c>
      <c r="I104" s="332">
        <v>3</v>
      </c>
      <c r="J104" s="332">
        <v>3</v>
      </c>
      <c r="K104" s="332">
        <v>3</v>
      </c>
      <c r="L104" s="332">
        <v>4</v>
      </c>
      <c r="M104" s="332">
        <v>4</v>
      </c>
      <c r="N104" s="332">
        <v>4</v>
      </c>
      <c r="O104" s="332">
        <v>4</v>
      </c>
      <c r="P104" s="332">
        <v>5</v>
      </c>
      <c r="Q104" s="383"/>
      <c r="AB104" s="48"/>
      <c r="AC104" s="48"/>
      <c r="AD104" s="48"/>
      <c r="AE104" s="48"/>
      <c r="AF104" s="48"/>
      <c r="AG104" s="48"/>
      <c r="AH104" s="48"/>
      <c r="AI104" s="48"/>
    </row>
    <row r="105" spans="1:35" ht="15.75" x14ac:dyDescent="0.25">
      <c r="A105" s="466" t="s">
        <v>457</v>
      </c>
      <c r="B105" s="332"/>
      <c r="C105" s="332"/>
      <c r="D105" s="332"/>
      <c r="E105" s="332"/>
      <c r="F105" s="332"/>
      <c r="G105" s="332"/>
      <c r="H105" s="332"/>
      <c r="I105" s="332"/>
      <c r="J105" s="332"/>
      <c r="K105" s="332"/>
      <c r="L105" s="332"/>
      <c r="M105" s="332"/>
      <c r="N105" s="332"/>
      <c r="O105" s="332"/>
      <c r="P105" s="332"/>
      <c r="Q105" s="383"/>
      <c r="AB105" s="48"/>
      <c r="AC105" s="48"/>
      <c r="AD105" s="48"/>
      <c r="AE105" s="48"/>
      <c r="AF105" s="48"/>
      <c r="AG105" s="48"/>
      <c r="AH105" s="48"/>
      <c r="AI105" s="48"/>
    </row>
    <row r="106" spans="1:35" ht="15.75" x14ac:dyDescent="0.25">
      <c r="A106" s="466" t="s">
        <v>458</v>
      </c>
      <c r="B106" s="332"/>
      <c r="C106" s="332"/>
      <c r="D106" s="332"/>
      <c r="E106" s="332"/>
      <c r="F106" s="332"/>
      <c r="G106" s="332"/>
      <c r="H106" s="332"/>
      <c r="I106" s="332"/>
      <c r="J106" s="332"/>
      <c r="K106" s="332"/>
      <c r="L106" s="332"/>
      <c r="M106" s="332"/>
      <c r="N106" s="332"/>
      <c r="O106" s="332"/>
      <c r="P106" s="332"/>
      <c r="Q106" s="383"/>
      <c r="AB106" s="48"/>
      <c r="AC106" s="48"/>
      <c r="AD106" s="48"/>
      <c r="AE106" s="48"/>
      <c r="AF106" s="48"/>
      <c r="AG106" s="48"/>
      <c r="AH106" s="48"/>
      <c r="AI106" s="48"/>
    </row>
    <row r="107" spans="1:35" ht="15.75" x14ac:dyDescent="0.25">
      <c r="A107" s="466" t="s">
        <v>459</v>
      </c>
      <c r="B107" s="332"/>
      <c r="C107" s="332"/>
      <c r="D107" s="332"/>
      <c r="E107" s="332"/>
      <c r="F107" s="332"/>
      <c r="G107" s="332"/>
      <c r="H107" s="332"/>
      <c r="I107" s="332"/>
      <c r="J107" s="332"/>
      <c r="K107" s="332"/>
      <c r="L107" s="332"/>
      <c r="M107" s="332"/>
      <c r="N107" s="332"/>
      <c r="O107" s="332"/>
      <c r="P107" s="332"/>
      <c r="Q107" s="383"/>
      <c r="AB107" s="48"/>
      <c r="AC107" s="48"/>
      <c r="AD107" s="48"/>
      <c r="AE107" s="48"/>
      <c r="AF107" s="48"/>
      <c r="AG107" s="48"/>
      <c r="AH107" s="48"/>
      <c r="AI107" s="48"/>
    </row>
    <row r="108" spans="1:35" ht="15.75" x14ac:dyDescent="0.25">
      <c r="A108" s="466" t="s">
        <v>460</v>
      </c>
      <c r="B108" s="332"/>
      <c r="C108" s="332"/>
      <c r="D108" s="332"/>
      <c r="E108" s="332"/>
      <c r="F108" s="332"/>
      <c r="G108" s="332"/>
      <c r="H108" s="332"/>
      <c r="I108" s="332"/>
      <c r="J108" s="332"/>
      <c r="K108" s="332"/>
      <c r="L108" s="332"/>
      <c r="M108" s="332"/>
      <c r="N108" s="332"/>
      <c r="O108" s="332"/>
      <c r="P108" s="332"/>
      <c r="Q108" s="383"/>
      <c r="AB108" s="48"/>
      <c r="AC108" s="48"/>
      <c r="AD108" s="48"/>
      <c r="AE108" s="48"/>
      <c r="AF108" s="48"/>
      <c r="AG108" s="48"/>
      <c r="AH108" s="48"/>
      <c r="AI108" s="48"/>
    </row>
    <row r="109" spans="1:35" ht="15.75" x14ac:dyDescent="0.25">
      <c r="A109" s="466" t="s">
        <v>461</v>
      </c>
      <c r="B109" s="332"/>
      <c r="C109" s="332"/>
      <c r="D109" s="332"/>
      <c r="E109" s="332"/>
      <c r="F109" s="332"/>
      <c r="G109" s="332"/>
      <c r="H109" s="332"/>
      <c r="I109" s="332"/>
      <c r="J109" s="332"/>
      <c r="K109" s="332"/>
      <c r="L109" s="332"/>
      <c r="M109" s="332"/>
      <c r="N109" s="332"/>
      <c r="O109" s="332"/>
      <c r="P109" s="332"/>
      <c r="Q109" s="383"/>
      <c r="AB109" s="48"/>
      <c r="AC109" s="48"/>
      <c r="AD109" s="48"/>
      <c r="AE109" s="48"/>
      <c r="AF109" s="48"/>
      <c r="AG109" s="48"/>
      <c r="AH109" s="48"/>
      <c r="AI109" s="48"/>
    </row>
    <row r="110" spans="1:35" ht="15.75" x14ac:dyDescent="0.25">
      <c r="A110" s="466" t="s">
        <v>462</v>
      </c>
      <c r="B110" s="332"/>
      <c r="C110" s="332"/>
      <c r="D110" s="332"/>
      <c r="E110" s="332"/>
      <c r="F110" s="332"/>
      <c r="G110" s="332"/>
      <c r="H110" s="332"/>
      <c r="I110" s="332"/>
      <c r="J110" s="332"/>
      <c r="K110" s="332"/>
      <c r="L110" s="332"/>
      <c r="M110" s="332"/>
      <c r="N110" s="332"/>
      <c r="O110" s="332"/>
      <c r="P110" s="332"/>
      <c r="Q110" s="383"/>
      <c r="AB110" s="48"/>
      <c r="AC110" s="48"/>
      <c r="AD110" s="48"/>
      <c r="AE110" s="48"/>
      <c r="AF110" s="48"/>
      <c r="AG110" s="48"/>
      <c r="AH110" s="48"/>
      <c r="AI110" s="48"/>
    </row>
    <row r="111" spans="1:35" ht="15.75" x14ac:dyDescent="0.25">
      <c r="A111" s="466" t="s">
        <v>463</v>
      </c>
      <c r="B111" s="332"/>
      <c r="C111" s="332"/>
      <c r="D111" s="332"/>
      <c r="E111" s="332"/>
      <c r="F111" s="332"/>
      <c r="G111" s="332"/>
      <c r="H111" s="332"/>
      <c r="I111" s="332"/>
      <c r="J111" s="332"/>
      <c r="K111" s="332"/>
      <c r="L111" s="332"/>
      <c r="M111" s="332"/>
      <c r="N111" s="332"/>
      <c r="O111" s="332"/>
      <c r="P111" s="332"/>
      <c r="Q111" s="383"/>
      <c r="AB111" s="48"/>
      <c r="AC111" s="48"/>
      <c r="AD111" s="48"/>
      <c r="AE111" s="48"/>
      <c r="AF111" s="48"/>
      <c r="AG111" s="48"/>
      <c r="AH111" s="48"/>
      <c r="AI111" s="48"/>
    </row>
    <row r="112" spans="1:35" ht="15.75" x14ac:dyDescent="0.25">
      <c r="A112" s="466" t="s">
        <v>464</v>
      </c>
      <c r="B112" s="332"/>
      <c r="C112" s="332"/>
      <c r="D112" s="332"/>
      <c r="E112" s="332"/>
      <c r="F112" s="332"/>
      <c r="G112" s="332"/>
      <c r="H112" s="332"/>
      <c r="I112" s="332"/>
      <c r="J112" s="332"/>
      <c r="K112" s="332"/>
      <c r="L112" s="332"/>
      <c r="M112" s="332"/>
      <c r="N112" s="332"/>
      <c r="O112" s="332"/>
      <c r="P112" s="332"/>
      <c r="Q112" s="383"/>
      <c r="AB112" s="48"/>
      <c r="AC112" s="48"/>
      <c r="AD112" s="48"/>
      <c r="AE112" s="48"/>
      <c r="AF112" s="48"/>
      <c r="AG112" s="48"/>
      <c r="AH112" s="48"/>
      <c r="AI112" s="48"/>
    </row>
    <row r="113" spans="1:35" ht="15.75" x14ac:dyDescent="0.25">
      <c r="A113" s="466" t="s">
        <v>656</v>
      </c>
      <c r="B113" s="332"/>
      <c r="C113" s="332"/>
      <c r="D113" s="332"/>
      <c r="E113" s="332"/>
      <c r="F113" s="332"/>
      <c r="G113" s="332"/>
      <c r="H113" s="332"/>
      <c r="I113" s="332"/>
      <c r="J113" s="332"/>
      <c r="K113" s="332"/>
      <c r="L113" s="332"/>
      <c r="M113" s="332"/>
      <c r="N113" s="332"/>
      <c r="O113" s="332"/>
      <c r="P113" s="332"/>
      <c r="Q113" s="383"/>
      <c r="AB113" s="48"/>
      <c r="AC113" s="48"/>
      <c r="AD113" s="48"/>
      <c r="AE113" s="48"/>
      <c r="AF113" s="48"/>
      <c r="AG113" s="48"/>
      <c r="AH113" s="48"/>
      <c r="AI113" s="48"/>
    </row>
    <row r="114" spans="1:35" ht="15.75" x14ac:dyDescent="0.25">
      <c r="A114" s="466" t="s">
        <v>465</v>
      </c>
      <c r="B114" s="332"/>
      <c r="C114" s="332">
        <v>1</v>
      </c>
      <c r="D114" s="332">
        <v>1</v>
      </c>
      <c r="E114" s="332">
        <v>2</v>
      </c>
      <c r="F114" s="332">
        <v>2</v>
      </c>
      <c r="G114" s="332">
        <v>2</v>
      </c>
      <c r="H114" s="332">
        <v>3</v>
      </c>
      <c r="I114" s="332">
        <v>3</v>
      </c>
      <c r="J114" s="332">
        <v>3</v>
      </c>
      <c r="K114" s="332">
        <v>4</v>
      </c>
      <c r="L114" s="332">
        <v>4</v>
      </c>
      <c r="M114" s="332">
        <v>4</v>
      </c>
      <c r="N114" s="332">
        <v>5</v>
      </c>
      <c r="O114" s="332">
        <v>5</v>
      </c>
      <c r="P114" s="332">
        <v>5</v>
      </c>
      <c r="Q114" s="383"/>
      <c r="AB114" s="48"/>
      <c r="AC114" s="48"/>
      <c r="AD114" s="48"/>
      <c r="AE114" s="48"/>
      <c r="AF114" s="48"/>
      <c r="AG114" s="48"/>
      <c r="AH114" s="48"/>
      <c r="AI114" s="48"/>
    </row>
    <row r="115" spans="1:35" ht="15.75" x14ac:dyDescent="0.25">
      <c r="A115" s="467" t="str">
        <f>IF(wp_custom1="", "", wp_custom1)</f>
        <v>W.P. #1</v>
      </c>
      <c r="B115" s="332">
        <f>Customize!N51</f>
        <v>0</v>
      </c>
      <c r="C115" s="332">
        <f>Customize!N52</f>
        <v>0</v>
      </c>
      <c r="D115" s="332">
        <f>Customize!N53</f>
        <v>0</v>
      </c>
      <c r="E115" s="332">
        <f>Customize!N54</f>
        <v>0</v>
      </c>
      <c r="F115" s="332">
        <f>Customize!N55</f>
        <v>0</v>
      </c>
      <c r="G115" s="332">
        <f>Customize!N56</f>
        <v>0</v>
      </c>
      <c r="H115" s="332">
        <f>Customize!N57</f>
        <v>0</v>
      </c>
      <c r="I115" s="332">
        <f>Customize!N58</f>
        <v>0</v>
      </c>
      <c r="J115" s="332">
        <f>Customize!N59</f>
        <v>0</v>
      </c>
      <c r="K115" s="332">
        <f>Customize!N60</f>
        <v>0</v>
      </c>
      <c r="L115" s="332">
        <f>Customize!N61</f>
        <v>0</v>
      </c>
      <c r="M115" s="332">
        <f>Customize!N62</f>
        <v>0</v>
      </c>
      <c r="N115" s="332">
        <f>Customize!N63</f>
        <v>0</v>
      </c>
      <c r="O115" s="332">
        <f>Customize!N64</f>
        <v>0</v>
      </c>
      <c r="P115" s="332">
        <f>Customize!N65</f>
        <v>0</v>
      </c>
      <c r="Q115" s="383"/>
      <c r="AB115" s="48"/>
      <c r="AC115" s="48"/>
      <c r="AD115" s="48"/>
      <c r="AE115" s="48"/>
      <c r="AF115" s="48"/>
      <c r="AG115" s="48"/>
      <c r="AH115" s="48"/>
      <c r="AI115" s="48"/>
    </row>
    <row r="116" spans="1:35" ht="15.75" x14ac:dyDescent="0.25">
      <c r="A116" s="467" t="str">
        <f>IF(wp_custom2="", "", wp_custom2)</f>
        <v>W.P. #2</v>
      </c>
      <c r="B116" s="332">
        <f>Customize!E72</f>
        <v>0</v>
      </c>
      <c r="C116" s="332">
        <f>Customize!E73</f>
        <v>0</v>
      </c>
      <c r="D116" s="332">
        <f>Customize!E74</f>
        <v>0</v>
      </c>
      <c r="E116" s="332">
        <f>Customize!E75</f>
        <v>0</v>
      </c>
      <c r="F116" s="332">
        <f>Customize!E76</f>
        <v>0</v>
      </c>
      <c r="G116" s="332">
        <f>Customize!E77</f>
        <v>0</v>
      </c>
      <c r="H116" s="332">
        <f>Customize!E78</f>
        <v>0</v>
      </c>
      <c r="I116" s="332">
        <f>Customize!E79</f>
        <v>0</v>
      </c>
      <c r="J116" s="332">
        <f>Customize!E80</f>
        <v>0</v>
      </c>
      <c r="K116" s="332">
        <f>Customize!E81</f>
        <v>0</v>
      </c>
      <c r="L116" s="332">
        <f>Customize!E82</f>
        <v>0</v>
      </c>
      <c r="M116" s="332">
        <f>Customize!E83</f>
        <v>0</v>
      </c>
      <c r="N116" s="332">
        <f>Customize!E84</f>
        <v>0</v>
      </c>
      <c r="O116" s="332">
        <f>Customize!E85</f>
        <v>0</v>
      </c>
      <c r="P116" s="332">
        <f>Customize!E86</f>
        <v>0</v>
      </c>
      <c r="Q116" s="383"/>
      <c r="AB116" s="48"/>
      <c r="AC116" s="48"/>
      <c r="AD116" s="48"/>
      <c r="AE116" s="48"/>
      <c r="AF116" s="48"/>
      <c r="AG116" s="48"/>
      <c r="AH116" s="48"/>
      <c r="AI116" s="48"/>
    </row>
    <row r="117" spans="1:35" ht="15.75" x14ac:dyDescent="0.25">
      <c r="A117" s="467" t="str">
        <f>IF(wp_custom3="", "", wp_custom3)</f>
        <v>W.P. #3</v>
      </c>
      <c r="B117" s="332">
        <f>Customize!N72</f>
        <v>0</v>
      </c>
      <c r="C117" s="332">
        <f>Customize!N73</f>
        <v>0</v>
      </c>
      <c r="D117" s="332">
        <f>Customize!N74</f>
        <v>0</v>
      </c>
      <c r="E117" s="332">
        <f>Customize!N75</f>
        <v>0</v>
      </c>
      <c r="F117" s="332">
        <f>Customize!N76</f>
        <v>0</v>
      </c>
      <c r="G117" s="332">
        <f>Customize!N77</f>
        <v>0</v>
      </c>
      <c r="H117" s="332">
        <f>Customize!N78</f>
        <v>0</v>
      </c>
      <c r="I117" s="332">
        <f>Customize!N79</f>
        <v>0</v>
      </c>
      <c r="J117" s="332">
        <f>Customize!N80</f>
        <v>0</v>
      </c>
      <c r="K117" s="332">
        <f>Customize!N81</f>
        <v>0</v>
      </c>
      <c r="L117" s="332">
        <f>Customize!N82</f>
        <v>0</v>
      </c>
      <c r="M117" s="332">
        <f>Customize!N83</f>
        <v>0</v>
      </c>
      <c r="N117" s="332">
        <f>Customize!N84</f>
        <v>0</v>
      </c>
      <c r="O117" s="332">
        <f>Customize!N85</f>
        <v>0</v>
      </c>
      <c r="P117" s="332">
        <f>Customize!N86</f>
        <v>0</v>
      </c>
      <c r="Q117" s="383"/>
      <c r="AB117" s="48"/>
      <c r="AC117" s="48"/>
      <c r="AD117" s="48"/>
      <c r="AE117" s="48"/>
      <c r="AF117" s="48"/>
      <c r="AG117" s="48"/>
      <c r="AH117" s="48"/>
      <c r="AI117" s="48"/>
    </row>
    <row r="118" spans="1:35" x14ac:dyDescent="0.25">
      <c r="A118" s="383"/>
      <c r="B118" s="383"/>
      <c r="C118" s="383"/>
      <c r="D118" s="383"/>
      <c r="E118" s="383"/>
      <c r="F118" s="383"/>
      <c r="G118" s="383"/>
      <c r="H118" s="383"/>
      <c r="I118" s="383"/>
      <c r="J118" s="383"/>
      <c r="K118" s="383"/>
      <c r="L118" s="383"/>
      <c r="M118" s="383"/>
      <c r="N118" s="383"/>
      <c r="O118" s="383"/>
      <c r="P118" s="383"/>
      <c r="Q118" s="383"/>
      <c r="AB118" s="48"/>
      <c r="AC118" s="48"/>
      <c r="AD118" s="48"/>
      <c r="AE118" s="48"/>
      <c r="AF118" s="48"/>
      <c r="AG118" s="48"/>
      <c r="AH118" s="48"/>
      <c r="AI118" s="48"/>
    </row>
    <row r="119" spans="1:35" x14ac:dyDescent="0.25">
      <c r="A119" s="1460" t="s">
        <v>85</v>
      </c>
      <c r="B119" s="1460"/>
      <c r="C119" s="1460"/>
      <c r="D119" s="1460"/>
      <c r="E119" s="1460"/>
      <c r="F119" s="1460"/>
      <c r="G119" s="1460"/>
      <c r="H119" s="1460"/>
      <c r="I119" s="1460"/>
      <c r="J119" s="1460"/>
      <c r="K119" s="1460"/>
      <c r="L119" s="1460"/>
      <c r="M119" s="1460"/>
      <c r="N119" s="1460"/>
      <c r="O119" s="1460"/>
      <c r="P119" s="1460"/>
      <c r="Q119" s="383"/>
      <c r="AB119" s="48"/>
      <c r="AC119" s="48"/>
      <c r="AD119" s="48"/>
      <c r="AE119" s="48"/>
      <c r="AF119" s="48"/>
      <c r="AG119" s="48"/>
      <c r="AH119" s="48"/>
      <c r="AI119" s="48"/>
    </row>
    <row r="120" spans="1:35" x14ac:dyDescent="0.25">
      <c r="A120" s="332"/>
      <c r="B120" s="465">
        <v>1</v>
      </c>
      <c r="C120" s="465">
        <v>2</v>
      </c>
      <c r="D120" s="465">
        <v>3</v>
      </c>
      <c r="E120" s="465">
        <v>4</v>
      </c>
      <c r="F120" s="465">
        <v>5</v>
      </c>
      <c r="G120" s="465">
        <v>6</v>
      </c>
      <c r="H120" s="465">
        <v>7</v>
      </c>
      <c r="I120" s="465">
        <v>8</v>
      </c>
      <c r="J120" s="465">
        <v>9</v>
      </c>
      <c r="K120" s="465">
        <v>10</v>
      </c>
      <c r="L120" s="465">
        <v>11</v>
      </c>
      <c r="M120" s="465">
        <v>12</v>
      </c>
      <c r="N120" s="465">
        <v>13</v>
      </c>
      <c r="O120" s="465">
        <v>14</v>
      </c>
      <c r="P120" s="465">
        <v>15</v>
      </c>
      <c r="Q120" s="383"/>
      <c r="AB120" s="48"/>
      <c r="AC120" s="48"/>
      <c r="AD120" s="48"/>
      <c r="AE120" s="48"/>
      <c r="AF120" s="48"/>
      <c r="AG120" s="48"/>
      <c r="AH120" s="48"/>
      <c r="AI120" s="48"/>
    </row>
    <row r="121" spans="1:35" ht="15.75" x14ac:dyDescent="0.25">
      <c r="A121" s="466" t="s">
        <v>444</v>
      </c>
      <c r="B121" s="332"/>
      <c r="C121" s="332"/>
      <c r="D121" s="332"/>
      <c r="E121" s="332"/>
      <c r="F121" s="332"/>
      <c r="G121" s="332"/>
      <c r="H121" s="332"/>
      <c r="I121" s="332"/>
      <c r="J121" s="332"/>
      <c r="K121" s="332"/>
      <c r="L121" s="332"/>
      <c r="M121" s="332"/>
      <c r="N121" s="332"/>
      <c r="O121" s="332"/>
      <c r="P121" s="332"/>
      <c r="Q121" s="383"/>
      <c r="AB121" s="48"/>
      <c r="AC121" s="48"/>
      <c r="AD121" s="48"/>
      <c r="AE121" s="48"/>
      <c r="AF121" s="48"/>
      <c r="AG121" s="48"/>
      <c r="AH121" s="48"/>
      <c r="AI121" s="48"/>
    </row>
    <row r="122" spans="1:35" ht="15.75" x14ac:dyDescent="0.25">
      <c r="A122" s="466" t="s">
        <v>446</v>
      </c>
      <c r="B122" s="332"/>
      <c r="C122" s="332"/>
      <c r="D122" s="332"/>
      <c r="E122" s="332"/>
      <c r="F122" s="332"/>
      <c r="G122" s="332"/>
      <c r="H122" s="332"/>
      <c r="I122" s="332"/>
      <c r="J122" s="332"/>
      <c r="K122" s="332"/>
      <c r="L122" s="332"/>
      <c r="M122" s="332"/>
      <c r="N122" s="332"/>
      <c r="O122" s="332"/>
      <c r="P122" s="332"/>
      <c r="Q122" s="383"/>
      <c r="AB122" s="48"/>
      <c r="AC122" s="48"/>
      <c r="AD122" s="48"/>
      <c r="AE122" s="48"/>
      <c r="AF122" s="48"/>
      <c r="AG122" s="48"/>
      <c r="AH122" s="48"/>
      <c r="AI122" s="48"/>
    </row>
    <row r="123" spans="1:35" ht="15.75" x14ac:dyDescent="0.25">
      <c r="A123" s="466" t="s">
        <v>447</v>
      </c>
      <c r="B123" s="332"/>
      <c r="C123" s="332"/>
      <c r="D123" s="332"/>
      <c r="E123" s="332"/>
      <c r="F123" s="332"/>
      <c r="G123" s="332"/>
      <c r="H123" s="332"/>
      <c r="I123" s="332"/>
      <c r="J123" s="332"/>
      <c r="K123" s="332"/>
      <c r="L123" s="332"/>
      <c r="M123" s="332"/>
      <c r="N123" s="332"/>
      <c r="O123" s="332"/>
      <c r="P123" s="332"/>
      <c r="Q123" s="383"/>
      <c r="AB123" s="48"/>
      <c r="AC123" s="48"/>
      <c r="AD123" s="48"/>
      <c r="AE123" s="48"/>
      <c r="AF123" s="48"/>
      <c r="AG123" s="48"/>
      <c r="AH123" s="48"/>
      <c r="AI123" s="48"/>
    </row>
    <row r="124" spans="1:35" ht="15.75" x14ac:dyDescent="0.25">
      <c r="A124" s="466" t="s">
        <v>448</v>
      </c>
      <c r="B124" s="332"/>
      <c r="C124" s="332"/>
      <c r="D124" s="332"/>
      <c r="E124" s="332"/>
      <c r="F124" s="332"/>
      <c r="G124" s="332"/>
      <c r="H124" s="332"/>
      <c r="I124" s="332"/>
      <c r="J124" s="332"/>
      <c r="K124" s="332"/>
      <c r="L124" s="332"/>
      <c r="M124" s="332"/>
      <c r="N124" s="332"/>
      <c r="O124" s="332"/>
      <c r="P124" s="332"/>
      <c r="Q124" s="383"/>
      <c r="AB124" s="48"/>
      <c r="AC124" s="48"/>
      <c r="AD124" s="48"/>
      <c r="AE124" s="48"/>
      <c r="AF124" s="48"/>
      <c r="AG124" s="48"/>
      <c r="AH124" s="48"/>
      <c r="AI124" s="48"/>
    </row>
    <row r="125" spans="1:35" ht="15.75" x14ac:dyDescent="0.25">
      <c r="A125" s="466" t="s">
        <v>449</v>
      </c>
      <c r="B125" s="332"/>
      <c r="C125" s="332"/>
      <c r="D125" s="332"/>
      <c r="E125" s="332"/>
      <c r="F125" s="332"/>
      <c r="G125" s="332"/>
      <c r="H125" s="332"/>
      <c r="I125" s="332"/>
      <c r="J125" s="332"/>
      <c r="K125" s="332"/>
      <c r="L125" s="332"/>
      <c r="M125" s="332"/>
      <c r="N125" s="332"/>
      <c r="O125" s="332"/>
      <c r="P125" s="332"/>
      <c r="Q125" s="383"/>
      <c r="AB125" s="48"/>
      <c r="AC125" s="48"/>
      <c r="AD125" s="48"/>
      <c r="AE125" s="48"/>
      <c r="AF125" s="48"/>
      <c r="AG125" s="48"/>
      <c r="AH125" s="48"/>
      <c r="AI125" s="48"/>
    </row>
    <row r="126" spans="1:35" ht="15.75" x14ac:dyDescent="0.25">
      <c r="A126" s="466" t="s">
        <v>450</v>
      </c>
      <c r="B126" s="332"/>
      <c r="C126" s="332"/>
      <c r="D126" s="332"/>
      <c r="E126" s="332"/>
      <c r="F126" s="332"/>
      <c r="G126" s="332"/>
      <c r="H126" s="332"/>
      <c r="I126" s="332"/>
      <c r="J126" s="332"/>
      <c r="K126" s="332"/>
      <c r="L126" s="332"/>
      <c r="M126" s="332"/>
      <c r="N126" s="332"/>
      <c r="O126" s="332"/>
      <c r="P126" s="332"/>
      <c r="Q126" s="383"/>
      <c r="AB126" s="48"/>
      <c r="AC126" s="48"/>
      <c r="AD126" s="48"/>
      <c r="AE126" s="48"/>
      <c r="AF126" s="48"/>
      <c r="AG126" s="48"/>
      <c r="AH126" s="48"/>
      <c r="AI126" s="48"/>
    </row>
    <row r="127" spans="1:35" ht="15.75" x14ac:dyDescent="0.25">
      <c r="A127" s="466" t="s">
        <v>451</v>
      </c>
      <c r="B127" s="332"/>
      <c r="C127" s="332"/>
      <c r="D127" s="332"/>
      <c r="E127" s="332"/>
      <c r="F127" s="332"/>
      <c r="G127" s="332"/>
      <c r="H127" s="332"/>
      <c r="I127" s="332"/>
      <c r="J127" s="332"/>
      <c r="K127" s="332"/>
      <c r="L127" s="332"/>
      <c r="M127" s="332"/>
      <c r="N127" s="332"/>
      <c r="O127" s="332"/>
      <c r="P127" s="332"/>
      <c r="Q127" s="383"/>
      <c r="AB127" s="48"/>
      <c r="AC127" s="48"/>
      <c r="AD127" s="48"/>
      <c r="AE127" s="48"/>
      <c r="AF127" s="48"/>
      <c r="AG127" s="48"/>
      <c r="AH127" s="48"/>
      <c r="AI127" s="48"/>
    </row>
    <row r="128" spans="1:35" ht="15.75" x14ac:dyDescent="0.25">
      <c r="A128" s="466" t="s">
        <v>452</v>
      </c>
      <c r="B128" s="332"/>
      <c r="C128" s="332"/>
      <c r="D128" s="332"/>
      <c r="E128" s="332"/>
      <c r="F128" s="332"/>
      <c r="G128" s="332"/>
      <c r="H128" s="332"/>
      <c r="I128" s="332"/>
      <c r="J128" s="332"/>
      <c r="K128" s="332"/>
      <c r="L128" s="332"/>
      <c r="M128" s="332"/>
      <c r="N128" s="332"/>
      <c r="O128" s="332"/>
      <c r="P128" s="332"/>
      <c r="Q128" s="383"/>
      <c r="AB128" s="48"/>
      <c r="AC128" s="48"/>
      <c r="AD128" s="48"/>
      <c r="AE128" s="48"/>
      <c r="AF128" s="48"/>
      <c r="AG128" s="48"/>
      <c r="AH128" s="48"/>
      <c r="AI128" s="48"/>
    </row>
    <row r="129" spans="1:35" ht="15.75" x14ac:dyDescent="0.25">
      <c r="A129" s="466" t="s">
        <v>657</v>
      </c>
      <c r="B129" s="332"/>
      <c r="C129" s="332"/>
      <c r="D129" s="332"/>
      <c r="E129" s="332"/>
      <c r="F129" s="332"/>
      <c r="G129" s="332"/>
      <c r="H129" s="332"/>
      <c r="I129" s="332"/>
      <c r="J129" s="332"/>
      <c r="K129" s="332"/>
      <c r="L129" s="332"/>
      <c r="M129" s="332"/>
      <c r="N129" s="332"/>
      <c r="O129" s="332"/>
      <c r="P129" s="332"/>
      <c r="Q129" s="383"/>
      <c r="AB129" s="48"/>
      <c r="AC129" s="48"/>
      <c r="AD129" s="48"/>
      <c r="AE129" s="48"/>
      <c r="AF129" s="48"/>
      <c r="AG129" s="48"/>
      <c r="AH129" s="48"/>
      <c r="AI129" s="48"/>
    </row>
    <row r="130" spans="1:35" ht="15.75" x14ac:dyDescent="0.25">
      <c r="A130" s="466" t="s">
        <v>453</v>
      </c>
      <c r="B130" s="332"/>
      <c r="C130" s="332"/>
      <c r="D130" s="332"/>
      <c r="E130" s="332"/>
      <c r="F130" s="332"/>
      <c r="G130" s="332"/>
      <c r="H130" s="332"/>
      <c r="I130" s="332"/>
      <c r="J130" s="332"/>
      <c r="K130" s="332"/>
      <c r="L130" s="332"/>
      <c r="M130" s="332"/>
      <c r="N130" s="332"/>
      <c r="O130" s="332"/>
      <c r="P130" s="332"/>
      <c r="Q130" s="383"/>
      <c r="AB130" s="48"/>
      <c r="AC130" s="48"/>
      <c r="AD130" s="48"/>
      <c r="AE130" s="48"/>
      <c r="AF130" s="48"/>
      <c r="AG130" s="48"/>
      <c r="AH130" s="48"/>
      <c r="AI130" s="48"/>
    </row>
    <row r="131" spans="1:35" ht="15.75" x14ac:dyDescent="0.25">
      <c r="A131" s="466" t="s">
        <v>454</v>
      </c>
      <c r="B131" s="332"/>
      <c r="C131" s="332"/>
      <c r="D131" s="332"/>
      <c r="E131" s="332"/>
      <c r="F131" s="332"/>
      <c r="G131" s="332"/>
      <c r="H131" s="332"/>
      <c r="I131" s="332"/>
      <c r="J131" s="332"/>
      <c r="K131" s="332"/>
      <c r="L131" s="332"/>
      <c r="M131" s="332"/>
      <c r="N131" s="332"/>
      <c r="O131" s="332"/>
      <c r="P131" s="332"/>
      <c r="Q131" s="383"/>
      <c r="AB131" s="48"/>
      <c r="AC131" s="48"/>
      <c r="AD131" s="48"/>
      <c r="AE131" s="48"/>
      <c r="AF131" s="48"/>
      <c r="AG131" s="48"/>
      <c r="AH131" s="48"/>
      <c r="AI131" s="48"/>
    </row>
    <row r="132" spans="1:35" ht="15.75" x14ac:dyDescent="0.25">
      <c r="A132" s="466" t="s">
        <v>455</v>
      </c>
      <c r="B132" s="332"/>
      <c r="C132" s="332"/>
      <c r="D132" s="332"/>
      <c r="E132" s="332"/>
      <c r="F132" s="332"/>
      <c r="G132" s="332"/>
      <c r="H132" s="332"/>
      <c r="I132" s="332"/>
      <c r="J132" s="332"/>
      <c r="K132" s="332"/>
      <c r="L132" s="332"/>
      <c r="M132" s="332"/>
      <c r="N132" s="332"/>
      <c r="O132" s="332"/>
      <c r="P132" s="332"/>
      <c r="Q132" s="383"/>
      <c r="AB132" s="48"/>
      <c r="AC132" s="48"/>
      <c r="AD132" s="48"/>
      <c r="AE132" s="48"/>
      <c r="AF132" s="48"/>
      <c r="AG132" s="48"/>
      <c r="AH132" s="48"/>
      <c r="AI132" s="48"/>
    </row>
    <row r="133" spans="1:35" ht="15.75" x14ac:dyDescent="0.25">
      <c r="A133" s="466" t="s">
        <v>456</v>
      </c>
      <c r="B133" s="332"/>
      <c r="C133" s="332"/>
      <c r="D133" s="332"/>
      <c r="E133" s="332"/>
      <c r="F133" s="332"/>
      <c r="G133" s="332"/>
      <c r="H133" s="332"/>
      <c r="I133" s="332"/>
      <c r="J133" s="332"/>
      <c r="K133" s="332"/>
      <c r="L133" s="332"/>
      <c r="M133" s="332"/>
      <c r="N133" s="332"/>
      <c r="O133" s="332"/>
      <c r="P133" s="332"/>
      <c r="Q133" s="383"/>
      <c r="AB133" s="48"/>
      <c r="AC133" s="48"/>
      <c r="AD133" s="48"/>
      <c r="AE133" s="48"/>
      <c r="AF133" s="48"/>
      <c r="AG133" s="48"/>
      <c r="AH133" s="48"/>
      <c r="AI133" s="48"/>
    </row>
    <row r="134" spans="1:35" ht="15.75" x14ac:dyDescent="0.25">
      <c r="A134" s="466" t="s">
        <v>457</v>
      </c>
      <c r="B134" s="332"/>
      <c r="C134" s="332"/>
      <c r="D134" s="332"/>
      <c r="E134" s="332"/>
      <c r="F134" s="332"/>
      <c r="G134" s="332"/>
      <c r="H134" s="332"/>
      <c r="I134" s="332"/>
      <c r="J134" s="332"/>
      <c r="K134" s="332"/>
      <c r="L134" s="332"/>
      <c r="M134" s="332"/>
      <c r="N134" s="332"/>
      <c r="O134" s="332"/>
      <c r="P134" s="332"/>
      <c r="Q134" s="383"/>
      <c r="AB134" s="48"/>
      <c r="AC134" s="48"/>
      <c r="AD134" s="48"/>
      <c r="AE134" s="48"/>
      <c r="AF134" s="48"/>
      <c r="AG134" s="48"/>
      <c r="AH134" s="48"/>
      <c r="AI134" s="48"/>
    </row>
    <row r="135" spans="1:35" ht="15.75" x14ac:dyDescent="0.25">
      <c r="A135" s="466" t="s">
        <v>458</v>
      </c>
      <c r="B135" s="332"/>
      <c r="C135" s="332">
        <v>2</v>
      </c>
      <c r="D135" s="332">
        <v>2</v>
      </c>
      <c r="E135" s="332">
        <v>2</v>
      </c>
      <c r="F135" s="332">
        <v>2</v>
      </c>
      <c r="G135" s="332">
        <v>2</v>
      </c>
      <c r="H135" s="332">
        <v>2</v>
      </c>
      <c r="I135" s="332">
        <v>4</v>
      </c>
      <c r="J135" s="332">
        <v>4</v>
      </c>
      <c r="K135" s="332">
        <v>4</v>
      </c>
      <c r="L135" s="332">
        <v>4</v>
      </c>
      <c r="M135" s="332">
        <v>4</v>
      </c>
      <c r="N135" s="332">
        <v>4</v>
      </c>
      <c r="O135" s="332">
        <v>4</v>
      </c>
      <c r="P135" s="332">
        <v>4</v>
      </c>
      <c r="Q135" s="383"/>
      <c r="AB135" s="48"/>
      <c r="AC135" s="48"/>
      <c r="AD135" s="48"/>
      <c r="AE135" s="48"/>
      <c r="AF135" s="48"/>
      <c r="AG135" s="48"/>
      <c r="AH135" s="48"/>
      <c r="AI135" s="48"/>
    </row>
    <row r="136" spans="1:35" ht="15.75" x14ac:dyDescent="0.25">
      <c r="A136" s="466" t="s">
        <v>459</v>
      </c>
      <c r="B136" s="332"/>
      <c r="C136" s="332"/>
      <c r="D136" s="332"/>
      <c r="E136" s="332"/>
      <c r="F136" s="332"/>
      <c r="G136" s="332"/>
      <c r="H136" s="332"/>
      <c r="I136" s="332"/>
      <c r="J136" s="332"/>
      <c r="K136" s="332"/>
      <c r="L136" s="332"/>
      <c r="M136" s="332"/>
      <c r="N136" s="332"/>
      <c r="O136" s="332"/>
      <c r="P136" s="332"/>
      <c r="Q136" s="383"/>
      <c r="AB136" s="48"/>
      <c r="AC136" s="48"/>
      <c r="AD136" s="48"/>
      <c r="AE136" s="48"/>
      <c r="AF136" s="48"/>
      <c r="AG136" s="48"/>
      <c r="AH136" s="48"/>
      <c r="AI136" s="48"/>
    </row>
    <row r="137" spans="1:35" ht="15.75" x14ac:dyDescent="0.25">
      <c r="A137" s="466" t="s">
        <v>460</v>
      </c>
      <c r="B137" s="332"/>
      <c r="C137" s="332"/>
      <c r="D137" s="332"/>
      <c r="E137" s="332"/>
      <c r="F137" s="332"/>
      <c r="G137" s="332"/>
      <c r="H137" s="332"/>
      <c r="I137" s="332"/>
      <c r="J137" s="332"/>
      <c r="K137" s="332"/>
      <c r="L137" s="332"/>
      <c r="M137" s="332"/>
      <c r="N137" s="332"/>
      <c r="O137" s="332"/>
      <c r="P137" s="332"/>
      <c r="Q137" s="383"/>
      <c r="AB137" s="48"/>
      <c r="AC137" s="48"/>
      <c r="AD137" s="48"/>
      <c r="AE137" s="48"/>
      <c r="AF137" s="48"/>
      <c r="AG137" s="48"/>
      <c r="AH137" s="48"/>
      <c r="AI137" s="48"/>
    </row>
    <row r="138" spans="1:35" ht="15.75" x14ac:dyDescent="0.25">
      <c r="A138" s="466" t="s">
        <v>461</v>
      </c>
      <c r="B138" s="332"/>
      <c r="C138" s="332"/>
      <c r="D138" s="332"/>
      <c r="E138" s="332"/>
      <c r="F138" s="332"/>
      <c r="G138" s="332"/>
      <c r="H138" s="332"/>
      <c r="I138" s="332"/>
      <c r="J138" s="332"/>
      <c r="K138" s="332"/>
      <c r="L138" s="332"/>
      <c r="M138" s="332"/>
      <c r="N138" s="332"/>
      <c r="O138" s="332"/>
      <c r="P138" s="332"/>
      <c r="Q138" s="383"/>
      <c r="AB138" s="48"/>
      <c r="AC138" s="48"/>
      <c r="AD138" s="48"/>
      <c r="AE138" s="48"/>
      <c r="AF138" s="48"/>
      <c r="AG138" s="48"/>
      <c r="AH138" s="48"/>
      <c r="AI138" s="48"/>
    </row>
    <row r="139" spans="1:35" ht="15.75" x14ac:dyDescent="0.25">
      <c r="A139" s="466" t="s">
        <v>462</v>
      </c>
      <c r="B139" s="332"/>
      <c r="C139" s="332"/>
      <c r="D139" s="332"/>
      <c r="E139" s="332"/>
      <c r="F139" s="332"/>
      <c r="G139" s="332"/>
      <c r="H139" s="332"/>
      <c r="I139" s="332"/>
      <c r="J139" s="332"/>
      <c r="K139" s="332"/>
      <c r="L139" s="332"/>
      <c r="M139" s="332"/>
      <c r="N139" s="332"/>
      <c r="O139" s="332"/>
      <c r="P139" s="332"/>
      <c r="Q139" s="383"/>
      <c r="AB139" s="48"/>
      <c r="AC139" s="48"/>
      <c r="AD139" s="48"/>
      <c r="AE139" s="48"/>
      <c r="AF139" s="48"/>
      <c r="AG139" s="48"/>
      <c r="AH139" s="48"/>
      <c r="AI139" s="48"/>
    </row>
    <row r="140" spans="1:35" ht="15.75" x14ac:dyDescent="0.25">
      <c r="A140" s="466" t="s">
        <v>463</v>
      </c>
      <c r="B140" s="332"/>
      <c r="C140" s="332"/>
      <c r="D140" s="332"/>
      <c r="E140" s="332"/>
      <c r="F140" s="332"/>
      <c r="G140" s="332"/>
      <c r="H140" s="332"/>
      <c r="I140" s="332"/>
      <c r="J140" s="332"/>
      <c r="K140" s="332"/>
      <c r="L140" s="332"/>
      <c r="M140" s="332"/>
      <c r="N140" s="332"/>
      <c r="O140" s="332"/>
      <c r="P140" s="332"/>
      <c r="Q140" s="383"/>
      <c r="AB140" s="48"/>
      <c r="AC140" s="48"/>
      <c r="AD140" s="48"/>
      <c r="AE140" s="48"/>
      <c r="AF140" s="48"/>
      <c r="AG140" s="48"/>
      <c r="AH140" s="48"/>
      <c r="AI140" s="48"/>
    </row>
    <row r="141" spans="1:35" ht="15.75" x14ac:dyDescent="0.25">
      <c r="A141" s="466" t="s">
        <v>464</v>
      </c>
      <c r="B141" s="332"/>
      <c r="C141" s="332"/>
      <c r="D141" s="332"/>
      <c r="E141" s="332"/>
      <c r="F141" s="332"/>
      <c r="G141" s="332"/>
      <c r="H141" s="332"/>
      <c r="I141" s="332"/>
      <c r="J141" s="332"/>
      <c r="K141" s="332"/>
      <c r="L141" s="332"/>
      <c r="M141" s="332"/>
      <c r="N141" s="332"/>
      <c r="O141" s="332"/>
      <c r="P141" s="332"/>
      <c r="Q141" s="383"/>
      <c r="AB141" s="48"/>
      <c r="AC141" s="48"/>
      <c r="AD141" s="48"/>
      <c r="AE141" s="48"/>
      <c r="AF141" s="48"/>
      <c r="AG141" s="48"/>
      <c r="AH141" s="48"/>
      <c r="AI141" s="48"/>
    </row>
    <row r="142" spans="1:35" ht="15.75" x14ac:dyDescent="0.25">
      <c r="A142" s="466" t="s">
        <v>656</v>
      </c>
      <c r="B142" s="332"/>
      <c r="C142" s="332"/>
      <c r="D142" s="332"/>
      <c r="E142" s="332"/>
      <c r="F142" s="332"/>
      <c r="G142" s="332"/>
      <c r="H142" s="332"/>
      <c r="I142" s="332"/>
      <c r="J142" s="332"/>
      <c r="K142" s="332"/>
      <c r="L142" s="332"/>
      <c r="M142" s="332"/>
      <c r="N142" s="332"/>
      <c r="O142" s="332"/>
      <c r="P142" s="332"/>
      <c r="Q142" s="383"/>
      <c r="AB142" s="48"/>
      <c r="AC142" s="48"/>
      <c r="AD142" s="48"/>
      <c r="AE142" s="48"/>
      <c r="AF142" s="48"/>
      <c r="AG142" s="48"/>
      <c r="AH142" s="48"/>
      <c r="AI142" s="48"/>
    </row>
    <row r="143" spans="1:35" ht="15.75" x14ac:dyDescent="0.25">
      <c r="A143" s="466" t="s">
        <v>465</v>
      </c>
      <c r="B143" s="332"/>
      <c r="C143" s="332">
        <v>1</v>
      </c>
      <c r="D143" s="332">
        <v>1</v>
      </c>
      <c r="E143" s="332">
        <v>2</v>
      </c>
      <c r="F143" s="332">
        <v>2</v>
      </c>
      <c r="G143" s="332">
        <v>2</v>
      </c>
      <c r="H143" s="332">
        <v>2</v>
      </c>
      <c r="I143" s="332">
        <v>3</v>
      </c>
      <c r="J143" s="332">
        <v>3</v>
      </c>
      <c r="K143" s="332">
        <v>3</v>
      </c>
      <c r="L143" s="332">
        <v>3</v>
      </c>
      <c r="M143" s="332">
        <v>4</v>
      </c>
      <c r="N143" s="332">
        <v>4</v>
      </c>
      <c r="O143" s="332">
        <v>4</v>
      </c>
      <c r="P143" s="332">
        <v>4</v>
      </c>
      <c r="Q143" s="383"/>
      <c r="AB143" s="48"/>
      <c r="AC143" s="48"/>
      <c r="AD143" s="48"/>
      <c r="AE143" s="48"/>
      <c r="AF143" s="48"/>
      <c r="AG143" s="48"/>
      <c r="AH143" s="48"/>
      <c r="AI143" s="48"/>
    </row>
    <row r="144" spans="1:35" ht="15.75" x14ac:dyDescent="0.25">
      <c r="A144" s="467" t="str">
        <f>IF(wp_custom1="", "", wp_custom1)</f>
        <v>W.P. #1</v>
      </c>
      <c r="B144" s="332">
        <f>Customize!O51</f>
        <v>0</v>
      </c>
      <c r="C144" s="332">
        <f>Customize!O52</f>
        <v>0</v>
      </c>
      <c r="D144" s="332">
        <f>Customize!O53</f>
        <v>0</v>
      </c>
      <c r="E144" s="332">
        <f>Customize!O54</f>
        <v>0</v>
      </c>
      <c r="F144" s="332">
        <f>Customize!O55</f>
        <v>0</v>
      </c>
      <c r="G144" s="332">
        <f>Customize!O56</f>
        <v>0</v>
      </c>
      <c r="H144" s="332">
        <f>Customize!O57</f>
        <v>0</v>
      </c>
      <c r="I144" s="332">
        <f>Customize!O58</f>
        <v>0</v>
      </c>
      <c r="J144" s="332">
        <f>Customize!O59</f>
        <v>0</v>
      </c>
      <c r="K144" s="332">
        <f>Customize!O60</f>
        <v>0</v>
      </c>
      <c r="L144" s="332">
        <f>Customize!O61</f>
        <v>0</v>
      </c>
      <c r="M144" s="332">
        <f>Customize!O62</f>
        <v>0</v>
      </c>
      <c r="N144" s="332">
        <f>Customize!O63</f>
        <v>0</v>
      </c>
      <c r="O144" s="332">
        <f>Customize!O64</f>
        <v>0</v>
      </c>
      <c r="P144" s="332">
        <f>Customize!O65</f>
        <v>0</v>
      </c>
      <c r="Q144" s="383"/>
      <c r="AB144" s="48"/>
      <c r="AC144" s="48"/>
      <c r="AD144" s="48"/>
      <c r="AE144" s="48"/>
      <c r="AF144" s="48"/>
      <c r="AG144" s="48"/>
      <c r="AH144" s="48"/>
      <c r="AI144" s="48"/>
    </row>
    <row r="145" spans="1:35" ht="15.75" x14ac:dyDescent="0.25">
      <c r="A145" s="467" t="str">
        <f>IF(wp_custom2="", "", wp_custom2)</f>
        <v>W.P. #2</v>
      </c>
      <c r="B145" s="332">
        <f>Customize!F72</f>
        <v>0</v>
      </c>
      <c r="C145" s="332">
        <f>Customize!F73</f>
        <v>0</v>
      </c>
      <c r="D145" s="332">
        <f>Customize!F74</f>
        <v>0</v>
      </c>
      <c r="E145" s="332">
        <f>Customize!F75</f>
        <v>0</v>
      </c>
      <c r="F145" s="332">
        <f>Customize!F76</f>
        <v>0</v>
      </c>
      <c r="G145" s="332">
        <f>Customize!F77</f>
        <v>0</v>
      </c>
      <c r="H145" s="332">
        <f>Customize!F78</f>
        <v>0</v>
      </c>
      <c r="I145" s="332">
        <f>Customize!F79</f>
        <v>0</v>
      </c>
      <c r="J145" s="332">
        <f>Customize!F80</f>
        <v>0</v>
      </c>
      <c r="K145" s="332">
        <f>Customize!F81</f>
        <v>0</v>
      </c>
      <c r="L145" s="332">
        <f>Customize!F82</f>
        <v>0</v>
      </c>
      <c r="M145" s="332">
        <f>Customize!F83</f>
        <v>0</v>
      </c>
      <c r="N145" s="332">
        <f>Customize!F84</f>
        <v>0</v>
      </c>
      <c r="O145" s="332">
        <f>Customize!F85</f>
        <v>0</v>
      </c>
      <c r="P145" s="332">
        <f>Customize!F86</f>
        <v>0</v>
      </c>
      <c r="Q145" s="383"/>
      <c r="AB145" s="48"/>
      <c r="AC145" s="48"/>
      <c r="AD145" s="48"/>
      <c r="AE145" s="48"/>
      <c r="AF145" s="48"/>
      <c r="AG145" s="48"/>
      <c r="AH145" s="48"/>
      <c r="AI145" s="48"/>
    </row>
    <row r="146" spans="1:35" ht="15.75" x14ac:dyDescent="0.25">
      <c r="A146" s="467" t="str">
        <f>IF(wp_custom3="", "", wp_custom3)</f>
        <v>W.P. #3</v>
      </c>
      <c r="B146" s="332">
        <f>Customize!O72</f>
        <v>0</v>
      </c>
      <c r="C146" s="332">
        <f>Customize!O73</f>
        <v>0</v>
      </c>
      <c r="D146" s="332">
        <f>Customize!O74</f>
        <v>0</v>
      </c>
      <c r="E146" s="332">
        <f>Customize!O75</f>
        <v>0</v>
      </c>
      <c r="F146" s="332">
        <f>Customize!O76</f>
        <v>0</v>
      </c>
      <c r="G146" s="332">
        <f>Customize!O77</f>
        <v>0</v>
      </c>
      <c r="H146" s="332">
        <f>Customize!O78</f>
        <v>0</v>
      </c>
      <c r="I146" s="332">
        <f>Customize!O79</f>
        <v>0</v>
      </c>
      <c r="J146" s="332">
        <f>Customize!O80</f>
        <v>0</v>
      </c>
      <c r="K146" s="332">
        <f>Customize!O81</f>
        <v>0</v>
      </c>
      <c r="L146" s="332">
        <f>Customize!O82</f>
        <v>0</v>
      </c>
      <c r="M146" s="332">
        <f>Customize!O83</f>
        <v>0</v>
      </c>
      <c r="N146" s="332">
        <f>Customize!O84</f>
        <v>0</v>
      </c>
      <c r="O146" s="332">
        <f>Customize!O85</f>
        <v>0</v>
      </c>
      <c r="P146" s="332">
        <f>Customize!O86</f>
        <v>0</v>
      </c>
      <c r="Q146" s="383"/>
      <c r="AB146" s="48"/>
      <c r="AC146" s="48"/>
      <c r="AD146" s="48"/>
      <c r="AE146" s="48"/>
      <c r="AF146" s="48"/>
      <c r="AG146" s="48"/>
      <c r="AH146" s="48"/>
      <c r="AI146" s="48"/>
    </row>
    <row r="147" spans="1:35" x14ac:dyDescent="0.25">
      <c r="A147" s="383"/>
      <c r="B147" s="383"/>
      <c r="C147" s="383"/>
      <c r="D147" s="383"/>
      <c r="E147" s="383"/>
      <c r="F147" s="383"/>
      <c r="G147" s="383"/>
      <c r="H147" s="383"/>
      <c r="I147" s="383"/>
      <c r="J147" s="383"/>
      <c r="K147" s="383"/>
      <c r="L147" s="383"/>
      <c r="M147" s="383"/>
      <c r="N147" s="383"/>
      <c r="O147" s="383"/>
      <c r="P147" s="383"/>
      <c r="Q147" s="383"/>
      <c r="AB147" s="48"/>
      <c r="AC147" s="48"/>
      <c r="AD147" s="48"/>
      <c r="AE147" s="48"/>
      <c r="AF147" s="48"/>
      <c r="AG147" s="48"/>
      <c r="AH147" s="48"/>
      <c r="AI147" s="48"/>
    </row>
    <row r="148" spans="1:35" x14ac:dyDescent="0.25">
      <c r="A148" s="1460" t="s">
        <v>176</v>
      </c>
      <c r="B148" s="1460"/>
      <c r="C148" s="1460"/>
      <c r="D148" s="1460"/>
      <c r="E148" s="1460"/>
      <c r="F148" s="1460"/>
      <c r="G148" s="1460"/>
      <c r="H148" s="1460"/>
      <c r="I148" s="1460"/>
      <c r="J148" s="1460"/>
      <c r="K148" s="1460"/>
      <c r="L148" s="1460"/>
      <c r="M148" s="1460"/>
      <c r="N148" s="1460"/>
      <c r="O148" s="1460"/>
      <c r="P148" s="1460"/>
      <c r="Q148" s="383"/>
      <c r="AB148" s="48"/>
      <c r="AC148" s="48"/>
      <c r="AD148" s="48"/>
      <c r="AE148" s="48"/>
      <c r="AF148" s="48"/>
      <c r="AG148" s="48"/>
      <c r="AH148" s="48"/>
      <c r="AI148" s="48"/>
    </row>
    <row r="149" spans="1:35" x14ac:dyDescent="0.25">
      <c r="A149" s="332"/>
      <c r="B149" s="465">
        <v>1</v>
      </c>
      <c r="C149" s="465">
        <v>2</v>
      </c>
      <c r="D149" s="465">
        <v>3</v>
      </c>
      <c r="E149" s="465">
        <v>4</v>
      </c>
      <c r="F149" s="465">
        <v>5</v>
      </c>
      <c r="G149" s="465">
        <v>6</v>
      </c>
      <c r="H149" s="465">
        <v>7</v>
      </c>
      <c r="I149" s="465">
        <v>8</v>
      </c>
      <c r="J149" s="465">
        <v>9</v>
      </c>
      <c r="K149" s="465">
        <v>10</v>
      </c>
      <c r="L149" s="465">
        <v>11</v>
      </c>
      <c r="M149" s="465">
        <v>12</v>
      </c>
      <c r="N149" s="465">
        <v>13</v>
      </c>
      <c r="O149" s="465">
        <v>14</v>
      </c>
      <c r="P149" s="465">
        <v>15</v>
      </c>
      <c r="Q149" s="383"/>
      <c r="AB149" s="48"/>
      <c r="AC149" s="48"/>
      <c r="AD149" s="48"/>
      <c r="AE149" s="48"/>
      <c r="AF149" s="48"/>
      <c r="AG149" s="48"/>
      <c r="AH149" s="48"/>
      <c r="AI149" s="48"/>
    </row>
    <row r="150" spans="1:35" ht="15.75" x14ac:dyDescent="0.25">
      <c r="A150" s="466" t="s">
        <v>444</v>
      </c>
      <c r="B150" s="332">
        <f>IF(occ="Long Bowman", 25, 20)</f>
        <v>20</v>
      </c>
      <c r="C150" s="332">
        <f>IF(occ="Long Bowman", 50, 40)</f>
        <v>40</v>
      </c>
      <c r="D150" s="332">
        <f>IF(occ="Long Bowman", 75, 60)</f>
        <v>60</v>
      </c>
      <c r="E150" s="332">
        <f>IF(occ="Long Bowman", 100, 80)</f>
        <v>80</v>
      </c>
      <c r="F150" s="332">
        <f>IF(occ="Long Bowman", 125, 100)</f>
        <v>100</v>
      </c>
      <c r="G150" s="332">
        <f>IF(occ="Long Bowman", 150, 120)</f>
        <v>120</v>
      </c>
      <c r="H150" s="332">
        <f>IF(occ="Long Bowman", 175, 140)</f>
        <v>140</v>
      </c>
      <c r="I150" s="332">
        <f>IF(occ="Long Bowman", 200, 160)</f>
        <v>160</v>
      </c>
      <c r="J150" s="332">
        <f>IF(occ="Long Bowman", 225, 180)</f>
        <v>180</v>
      </c>
      <c r="K150" s="332">
        <f>IF(occ="Long Bowman", 250, 200)</f>
        <v>200</v>
      </c>
      <c r="L150" s="332">
        <f>IF(occ="Long Bowman", 275, 220)</f>
        <v>220</v>
      </c>
      <c r="M150" s="332">
        <f>IF(occ="Long Bowman", 300, 240)</f>
        <v>240</v>
      </c>
      <c r="N150" s="332">
        <f>IF(occ="Long Bowman", 325, 260)</f>
        <v>260</v>
      </c>
      <c r="O150" s="332">
        <f>IF(occ="Long Bowman", 350, 280)</f>
        <v>280</v>
      </c>
      <c r="P150" s="332">
        <f>IF(occ="Long Bowman", 375, 300)</f>
        <v>300</v>
      </c>
      <c r="Q150" s="383"/>
      <c r="AB150" s="48"/>
      <c r="AC150" s="48"/>
      <c r="AD150" s="48"/>
      <c r="AE150" s="48"/>
      <c r="AF150" s="48"/>
      <c r="AG150" s="48"/>
      <c r="AH150" s="48"/>
      <c r="AI150" s="48"/>
    </row>
    <row r="151" spans="1:35" ht="15.75" x14ac:dyDescent="0.25">
      <c r="A151" s="466" t="s">
        <v>446</v>
      </c>
      <c r="B151" s="332"/>
      <c r="C151" s="332"/>
      <c r="D151" s="332"/>
      <c r="E151" s="332"/>
      <c r="F151" s="332"/>
      <c r="G151" s="332"/>
      <c r="H151" s="332"/>
      <c r="I151" s="332"/>
      <c r="J151" s="332"/>
      <c r="K151" s="332"/>
      <c r="L151" s="332"/>
      <c r="M151" s="332"/>
      <c r="N151" s="332"/>
      <c r="O151" s="332"/>
      <c r="P151" s="332"/>
      <c r="Q151" s="383"/>
      <c r="AB151" s="48"/>
      <c r="AC151" s="48"/>
      <c r="AD151" s="48"/>
      <c r="AE151" s="48"/>
      <c r="AF151" s="48"/>
      <c r="AG151" s="48"/>
      <c r="AH151" s="48"/>
      <c r="AI151" s="48"/>
    </row>
    <row r="152" spans="1:35" ht="15.75" x14ac:dyDescent="0.25">
      <c r="A152" s="466" t="s">
        <v>447</v>
      </c>
      <c r="B152" s="332"/>
      <c r="C152" s="332"/>
      <c r="D152" s="332"/>
      <c r="E152" s="332"/>
      <c r="F152" s="332"/>
      <c r="G152" s="332"/>
      <c r="H152" s="332"/>
      <c r="I152" s="332"/>
      <c r="J152" s="332"/>
      <c r="K152" s="332"/>
      <c r="L152" s="332"/>
      <c r="M152" s="332"/>
      <c r="N152" s="332"/>
      <c r="O152" s="332"/>
      <c r="P152" s="332"/>
      <c r="Q152" s="383"/>
      <c r="AB152" s="48"/>
      <c r="AC152" s="48"/>
      <c r="AD152" s="48"/>
      <c r="AE152" s="48"/>
      <c r="AF152" s="48"/>
      <c r="AG152" s="48"/>
      <c r="AH152" s="48"/>
      <c r="AI152" s="48"/>
    </row>
    <row r="153" spans="1:35" ht="15.75" x14ac:dyDescent="0.25">
      <c r="A153" s="466" t="s">
        <v>448</v>
      </c>
      <c r="B153" s="332"/>
      <c r="C153" s="332"/>
      <c r="D153" s="332"/>
      <c r="E153" s="332"/>
      <c r="F153" s="332"/>
      <c r="G153" s="332"/>
      <c r="H153" s="332"/>
      <c r="I153" s="332"/>
      <c r="J153" s="332"/>
      <c r="K153" s="332"/>
      <c r="L153" s="332"/>
      <c r="M153" s="332"/>
      <c r="N153" s="332"/>
      <c r="O153" s="332"/>
      <c r="P153" s="332"/>
      <c r="Q153" s="383"/>
      <c r="AB153" s="48"/>
      <c r="AC153" s="48"/>
      <c r="AD153" s="48"/>
      <c r="AE153" s="48"/>
      <c r="AF153" s="48"/>
      <c r="AG153" s="48"/>
      <c r="AH153" s="48"/>
      <c r="AI153" s="48"/>
    </row>
    <row r="154" spans="1:35" ht="15.75" x14ac:dyDescent="0.25">
      <c r="A154" s="466" t="s">
        <v>449</v>
      </c>
      <c r="B154" s="332"/>
      <c r="C154" s="332"/>
      <c r="D154" s="332"/>
      <c r="E154" s="332"/>
      <c r="F154" s="332"/>
      <c r="G154" s="332"/>
      <c r="H154" s="332"/>
      <c r="I154" s="332"/>
      <c r="J154" s="332"/>
      <c r="K154" s="332"/>
      <c r="L154" s="332"/>
      <c r="M154" s="332"/>
      <c r="N154" s="332"/>
      <c r="O154" s="332"/>
      <c r="P154" s="332"/>
      <c r="Q154" s="383"/>
      <c r="AB154" s="48"/>
      <c r="AC154" s="48"/>
      <c r="AD154" s="48"/>
      <c r="AE154" s="48"/>
      <c r="AF154" s="48"/>
      <c r="AG154" s="48"/>
      <c r="AH154" s="48"/>
      <c r="AI154" s="48"/>
    </row>
    <row r="155" spans="1:35" ht="15.75" x14ac:dyDescent="0.25">
      <c r="A155" s="466" t="s">
        <v>450</v>
      </c>
      <c r="B155" s="332"/>
      <c r="C155" s="332"/>
      <c r="D155" s="332"/>
      <c r="E155" s="332"/>
      <c r="F155" s="332"/>
      <c r="G155" s="332"/>
      <c r="H155" s="332"/>
      <c r="I155" s="332"/>
      <c r="J155" s="332"/>
      <c r="K155" s="332"/>
      <c r="L155" s="332"/>
      <c r="M155" s="332"/>
      <c r="N155" s="332"/>
      <c r="O155" s="332"/>
      <c r="P155" s="332"/>
      <c r="Q155" s="383"/>
      <c r="AB155" s="48"/>
      <c r="AC155" s="48"/>
      <c r="AD155" s="48"/>
      <c r="AE155" s="48"/>
      <c r="AF155" s="48"/>
      <c r="AG155" s="48"/>
      <c r="AH155" s="48"/>
      <c r="AI155" s="48"/>
    </row>
    <row r="156" spans="1:35" ht="15.75" x14ac:dyDescent="0.25">
      <c r="A156" s="466" t="s">
        <v>451</v>
      </c>
      <c r="B156" s="332"/>
      <c r="C156" s="332"/>
      <c r="D156" s="332"/>
      <c r="E156" s="332"/>
      <c r="F156" s="332"/>
      <c r="G156" s="332"/>
      <c r="H156" s="332"/>
      <c r="I156" s="332"/>
      <c r="J156" s="332"/>
      <c r="K156" s="332"/>
      <c r="L156" s="332"/>
      <c r="M156" s="332"/>
      <c r="N156" s="332"/>
      <c r="O156" s="332"/>
      <c r="P156" s="332"/>
      <c r="Q156" s="383"/>
      <c r="AB156" s="48"/>
      <c r="AC156" s="48"/>
      <c r="AD156" s="48"/>
      <c r="AE156" s="48"/>
      <c r="AF156" s="48"/>
      <c r="AG156" s="48"/>
      <c r="AH156" s="48"/>
      <c r="AI156" s="48"/>
    </row>
    <row r="157" spans="1:35" ht="15.75" x14ac:dyDescent="0.25">
      <c r="A157" s="466" t="s">
        <v>452</v>
      </c>
      <c r="B157" s="332"/>
      <c r="C157" s="332"/>
      <c r="D157" s="332"/>
      <c r="E157" s="332"/>
      <c r="F157" s="332"/>
      <c r="G157" s="332"/>
      <c r="H157" s="332"/>
      <c r="I157" s="332"/>
      <c r="J157" s="332"/>
      <c r="K157" s="332"/>
      <c r="L157" s="332"/>
      <c r="M157" s="332"/>
      <c r="N157" s="332"/>
      <c r="O157" s="332"/>
      <c r="P157" s="332"/>
      <c r="Q157" s="383"/>
      <c r="AB157" s="48"/>
      <c r="AC157" s="48"/>
      <c r="AD157" s="48"/>
      <c r="AE157" s="48"/>
      <c r="AF157" s="48"/>
      <c r="AG157" s="48"/>
      <c r="AH157" s="48"/>
      <c r="AI157" s="48"/>
    </row>
    <row r="158" spans="1:35" ht="15.75" x14ac:dyDescent="0.25">
      <c r="A158" s="466" t="s">
        <v>657</v>
      </c>
      <c r="B158" s="332"/>
      <c r="C158" s="332"/>
      <c r="D158" s="332"/>
      <c r="E158" s="332"/>
      <c r="F158" s="332"/>
      <c r="G158" s="332"/>
      <c r="H158" s="332"/>
      <c r="I158" s="332"/>
      <c r="J158" s="332"/>
      <c r="K158" s="332"/>
      <c r="L158" s="332"/>
      <c r="M158" s="332"/>
      <c r="N158" s="332"/>
      <c r="O158" s="332"/>
      <c r="P158" s="332"/>
      <c r="Q158" s="383"/>
      <c r="AB158" s="48"/>
      <c r="AC158" s="48"/>
      <c r="AD158" s="48"/>
      <c r="AE158" s="48"/>
      <c r="AF158" s="48"/>
      <c r="AG158" s="48"/>
      <c r="AH158" s="48"/>
      <c r="AI158" s="48"/>
    </row>
    <row r="159" spans="1:35" ht="15.75" x14ac:dyDescent="0.25">
      <c r="A159" s="466" t="s">
        <v>453</v>
      </c>
      <c r="B159" s="332"/>
      <c r="C159" s="332"/>
      <c r="D159" s="332"/>
      <c r="E159" s="332"/>
      <c r="F159" s="332"/>
      <c r="G159" s="332"/>
      <c r="H159" s="332"/>
      <c r="I159" s="332"/>
      <c r="J159" s="332"/>
      <c r="K159" s="332"/>
      <c r="L159" s="332"/>
      <c r="M159" s="332"/>
      <c r="N159" s="332"/>
      <c r="O159" s="332"/>
      <c r="P159" s="332"/>
      <c r="Q159" s="383"/>
      <c r="AB159" s="48"/>
      <c r="AC159" s="48"/>
      <c r="AD159" s="48"/>
      <c r="AE159" s="48"/>
      <c r="AF159" s="48"/>
      <c r="AG159" s="48"/>
      <c r="AH159" s="48"/>
      <c r="AI159" s="48"/>
    </row>
    <row r="160" spans="1:35" ht="15.75" x14ac:dyDescent="0.25">
      <c r="A160" s="466" t="s">
        <v>454</v>
      </c>
      <c r="B160" s="332"/>
      <c r="C160" s="332"/>
      <c r="D160" s="332"/>
      <c r="E160" s="332"/>
      <c r="F160" s="332"/>
      <c r="G160" s="332"/>
      <c r="H160" s="332"/>
      <c r="I160" s="332"/>
      <c r="J160" s="332"/>
      <c r="K160" s="332"/>
      <c r="L160" s="332"/>
      <c r="M160" s="332"/>
      <c r="N160" s="332"/>
      <c r="O160" s="332"/>
      <c r="P160" s="332"/>
      <c r="Q160" s="383"/>
      <c r="AB160" s="48"/>
      <c r="AC160" s="48"/>
      <c r="AD160" s="48"/>
      <c r="AE160" s="48"/>
      <c r="AF160" s="48"/>
      <c r="AG160" s="48"/>
      <c r="AH160" s="48"/>
      <c r="AI160" s="48"/>
    </row>
    <row r="161" spans="1:35" ht="15.75" x14ac:dyDescent="0.25">
      <c r="A161" s="466" t="s">
        <v>455</v>
      </c>
      <c r="B161" s="332"/>
      <c r="C161" s="332"/>
      <c r="D161" s="332"/>
      <c r="E161" s="332"/>
      <c r="F161" s="332"/>
      <c r="G161" s="332"/>
      <c r="H161" s="332"/>
      <c r="I161" s="332"/>
      <c r="J161" s="332"/>
      <c r="K161" s="332"/>
      <c r="L161" s="332"/>
      <c r="M161" s="332"/>
      <c r="N161" s="332"/>
      <c r="O161" s="332"/>
      <c r="P161" s="332"/>
      <c r="Q161" s="383"/>
      <c r="AB161" s="48"/>
      <c r="AC161" s="48"/>
      <c r="AD161" s="48"/>
      <c r="AE161" s="48"/>
      <c r="AF161" s="48"/>
      <c r="AG161" s="48"/>
      <c r="AH161" s="48"/>
      <c r="AI161" s="48"/>
    </row>
    <row r="162" spans="1:35" ht="15.75" x14ac:dyDescent="0.25">
      <c r="A162" s="466" t="s">
        <v>456</v>
      </c>
      <c r="B162" s="332"/>
      <c r="C162" s="332"/>
      <c r="D162" s="332"/>
      <c r="E162" s="332"/>
      <c r="F162" s="332"/>
      <c r="G162" s="332"/>
      <c r="H162" s="332"/>
      <c r="I162" s="332"/>
      <c r="J162" s="332"/>
      <c r="K162" s="332"/>
      <c r="L162" s="332"/>
      <c r="M162" s="332"/>
      <c r="N162" s="332"/>
      <c r="O162" s="332"/>
      <c r="P162" s="332"/>
      <c r="Q162" s="383"/>
      <c r="AB162" s="48"/>
      <c r="AC162" s="48"/>
      <c r="AD162" s="48"/>
      <c r="AE162" s="48"/>
      <c r="AF162" s="48"/>
      <c r="AG162" s="48"/>
      <c r="AH162" s="48"/>
      <c r="AI162" s="48"/>
    </row>
    <row r="163" spans="1:35" ht="15.75" x14ac:dyDescent="0.25">
      <c r="A163" s="466" t="s">
        <v>457</v>
      </c>
      <c r="B163" s="332"/>
      <c r="C163" s="332"/>
      <c r="D163" s="332"/>
      <c r="E163" s="332"/>
      <c r="F163" s="332"/>
      <c r="G163" s="332"/>
      <c r="H163" s="332"/>
      <c r="I163" s="332"/>
      <c r="J163" s="332"/>
      <c r="K163" s="332"/>
      <c r="L163" s="332"/>
      <c r="M163" s="332"/>
      <c r="N163" s="332"/>
      <c r="O163" s="332"/>
      <c r="P163" s="332"/>
      <c r="Q163" s="383"/>
      <c r="AB163" s="48"/>
      <c r="AC163" s="48"/>
      <c r="AD163" s="48"/>
      <c r="AE163" s="48"/>
      <c r="AF163" s="48"/>
      <c r="AG163" s="48"/>
      <c r="AH163" s="48"/>
      <c r="AI163" s="48"/>
    </row>
    <row r="164" spans="1:35" ht="15.75" x14ac:dyDescent="0.25">
      <c r="A164" s="466" t="s">
        <v>458</v>
      </c>
      <c r="B164" s="332"/>
      <c r="C164" s="332"/>
      <c r="D164" s="332"/>
      <c r="E164" s="332"/>
      <c r="F164" s="332"/>
      <c r="G164" s="332"/>
      <c r="H164" s="332"/>
      <c r="I164" s="332"/>
      <c r="J164" s="332"/>
      <c r="K164" s="332"/>
      <c r="L164" s="332"/>
      <c r="M164" s="332"/>
      <c r="N164" s="332"/>
      <c r="O164" s="332"/>
      <c r="P164" s="332"/>
      <c r="Q164" s="383"/>
      <c r="AB164" s="48"/>
      <c r="AC164" s="48"/>
      <c r="AD164" s="48"/>
      <c r="AE164" s="48"/>
      <c r="AF164" s="48"/>
      <c r="AG164" s="48"/>
      <c r="AH164" s="48"/>
      <c r="AI164" s="48"/>
    </row>
    <row r="165" spans="1:35" ht="15.75" x14ac:dyDescent="0.25">
      <c r="A165" s="466" t="s">
        <v>459</v>
      </c>
      <c r="B165" s="332"/>
      <c r="C165" s="332"/>
      <c r="D165" s="332"/>
      <c r="E165" s="332"/>
      <c r="F165" s="332"/>
      <c r="G165" s="332"/>
      <c r="H165" s="332"/>
      <c r="I165" s="332"/>
      <c r="J165" s="332"/>
      <c r="K165" s="332"/>
      <c r="L165" s="332"/>
      <c r="M165" s="332"/>
      <c r="N165" s="332"/>
      <c r="O165" s="332"/>
      <c r="P165" s="332"/>
      <c r="Q165" s="383"/>
      <c r="AB165" s="48"/>
      <c r="AC165" s="48"/>
      <c r="AD165" s="48"/>
      <c r="AE165" s="48"/>
      <c r="AF165" s="48"/>
      <c r="AG165" s="48"/>
      <c r="AH165" s="48"/>
      <c r="AI165" s="48"/>
    </row>
    <row r="166" spans="1:35" ht="15.75" x14ac:dyDescent="0.25">
      <c r="A166" s="466" t="s">
        <v>460</v>
      </c>
      <c r="B166" s="332"/>
      <c r="C166" s="332"/>
      <c r="D166" s="332"/>
      <c r="E166" s="332"/>
      <c r="F166" s="332"/>
      <c r="G166" s="332"/>
      <c r="H166" s="332"/>
      <c r="I166" s="332"/>
      <c r="J166" s="332"/>
      <c r="K166" s="332"/>
      <c r="L166" s="332"/>
      <c r="M166" s="332"/>
      <c r="N166" s="332"/>
      <c r="O166" s="332"/>
      <c r="P166" s="332"/>
      <c r="Q166" s="383"/>
      <c r="AB166" s="48"/>
      <c r="AC166" s="48"/>
      <c r="AD166" s="48"/>
      <c r="AE166" s="48"/>
      <c r="AF166" s="48"/>
      <c r="AG166" s="48"/>
      <c r="AH166" s="48"/>
      <c r="AI166" s="48"/>
    </row>
    <row r="167" spans="1:35" ht="15.75" x14ac:dyDescent="0.25">
      <c r="A167" s="466" t="s">
        <v>461</v>
      </c>
      <c r="B167" s="332"/>
      <c r="C167" s="332"/>
      <c r="D167" s="332"/>
      <c r="E167" s="332"/>
      <c r="F167" s="332"/>
      <c r="G167" s="332"/>
      <c r="H167" s="332"/>
      <c r="I167" s="332"/>
      <c r="J167" s="332"/>
      <c r="K167" s="332"/>
      <c r="L167" s="332"/>
      <c r="M167" s="332"/>
      <c r="N167" s="332"/>
      <c r="O167" s="332"/>
      <c r="P167" s="332"/>
      <c r="Q167" s="383"/>
      <c r="AB167" s="48"/>
      <c r="AC167" s="48"/>
      <c r="AD167" s="48"/>
      <c r="AE167" s="48"/>
      <c r="AF167" s="48"/>
      <c r="AG167" s="48"/>
      <c r="AH167" s="48"/>
      <c r="AI167" s="48"/>
    </row>
    <row r="168" spans="1:35" ht="15.75" x14ac:dyDescent="0.25">
      <c r="A168" s="466" t="s">
        <v>462</v>
      </c>
      <c r="B168" s="332"/>
      <c r="C168" s="332"/>
      <c r="D168" s="332"/>
      <c r="E168" s="332"/>
      <c r="F168" s="332"/>
      <c r="G168" s="332"/>
      <c r="H168" s="332"/>
      <c r="I168" s="332"/>
      <c r="J168" s="332"/>
      <c r="K168" s="332"/>
      <c r="L168" s="332"/>
      <c r="M168" s="332"/>
      <c r="N168" s="332"/>
      <c r="O168" s="332"/>
      <c r="P168" s="332"/>
      <c r="Q168" s="383"/>
      <c r="AB168" s="48"/>
      <c r="AC168" s="48"/>
      <c r="AD168" s="48"/>
      <c r="AE168" s="48"/>
      <c r="AF168" s="48"/>
      <c r="AG168" s="48"/>
      <c r="AH168" s="48"/>
      <c r="AI168" s="48"/>
    </row>
    <row r="169" spans="1:35" ht="15.75" x14ac:dyDescent="0.25">
      <c r="A169" s="466" t="s">
        <v>463</v>
      </c>
      <c r="B169" s="332"/>
      <c r="C169" s="332"/>
      <c r="D169" s="332"/>
      <c r="E169" s="332"/>
      <c r="F169" s="332"/>
      <c r="G169" s="332"/>
      <c r="H169" s="332"/>
      <c r="I169" s="332"/>
      <c r="J169" s="332"/>
      <c r="K169" s="332"/>
      <c r="L169" s="332"/>
      <c r="M169" s="332"/>
      <c r="N169" s="332"/>
      <c r="O169" s="332"/>
      <c r="P169" s="332"/>
      <c r="Q169" s="383"/>
      <c r="AB169" s="48"/>
      <c r="AC169" s="48"/>
      <c r="AD169" s="48"/>
      <c r="AE169" s="48"/>
      <c r="AF169" s="48"/>
      <c r="AG169" s="48"/>
      <c r="AH169" s="48"/>
      <c r="AI169" s="48"/>
    </row>
    <row r="170" spans="1:35" ht="15.75" x14ac:dyDescent="0.25">
      <c r="A170" s="466" t="s">
        <v>464</v>
      </c>
      <c r="B170" s="332"/>
      <c r="C170" s="332"/>
      <c r="D170" s="332"/>
      <c r="E170" s="332"/>
      <c r="F170" s="332"/>
      <c r="G170" s="332"/>
      <c r="H170" s="332"/>
      <c r="I170" s="332"/>
      <c r="J170" s="332"/>
      <c r="K170" s="332"/>
      <c r="L170" s="332"/>
      <c r="M170" s="332"/>
      <c r="N170" s="332"/>
      <c r="O170" s="332"/>
      <c r="P170" s="332"/>
      <c r="Q170" s="383"/>
      <c r="AB170" s="48"/>
      <c r="AC170" s="48"/>
      <c r="AD170" s="48"/>
      <c r="AE170" s="48"/>
      <c r="AF170" s="48"/>
      <c r="AG170" s="48"/>
      <c r="AH170" s="48"/>
      <c r="AI170" s="48"/>
    </row>
    <row r="171" spans="1:35" ht="15.75" x14ac:dyDescent="0.25">
      <c r="A171" s="466" t="s">
        <v>656</v>
      </c>
      <c r="B171" s="332"/>
      <c r="C171" s="332"/>
      <c r="D171" s="332"/>
      <c r="E171" s="332"/>
      <c r="F171" s="332"/>
      <c r="G171" s="332"/>
      <c r="H171" s="332"/>
      <c r="I171" s="332"/>
      <c r="J171" s="332"/>
      <c r="K171" s="332"/>
      <c r="L171" s="332"/>
      <c r="M171" s="332"/>
      <c r="N171" s="332"/>
      <c r="O171" s="332"/>
      <c r="P171" s="332"/>
      <c r="Q171" s="383"/>
      <c r="AB171" s="48"/>
      <c r="AC171" s="48"/>
      <c r="AD171" s="48"/>
      <c r="AE171" s="48"/>
      <c r="AF171" s="48"/>
      <c r="AG171" s="48"/>
      <c r="AH171" s="48"/>
      <c r="AI171" s="48"/>
    </row>
    <row r="172" spans="1:35" ht="15.75" x14ac:dyDescent="0.25">
      <c r="A172" s="466" t="s">
        <v>465</v>
      </c>
      <c r="B172" s="332"/>
      <c r="C172" s="332"/>
      <c r="D172" s="332"/>
      <c r="E172" s="332"/>
      <c r="F172" s="332"/>
      <c r="G172" s="332"/>
      <c r="H172" s="332"/>
      <c r="I172" s="332"/>
      <c r="J172" s="332"/>
      <c r="K172" s="332"/>
      <c r="L172" s="332"/>
      <c r="M172" s="332"/>
      <c r="N172" s="332"/>
      <c r="O172" s="332"/>
      <c r="P172" s="332"/>
      <c r="Q172" s="383"/>
      <c r="AB172" s="48"/>
      <c r="AC172" s="48"/>
      <c r="AD172" s="48"/>
      <c r="AE172" s="48"/>
      <c r="AF172" s="48"/>
      <c r="AG172" s="48"/>
      <c r="AH172" s="48"/>
      <c r="AI172" s="48"/>
    </row>
    <row r="173" spans="1:35" ht="15.75" x14ac:dyDescent="0.25">
      <c r="A173" s="467" t="str">
        <f>IF(wp_custom1="", "", wp_custom1)</f>
        <v>W.P. #1</v>
      </c>
      <c r="B173" s="332">
        <f>Customize!P51</f>
        <v>0</v>
      </c>
      <c r="C173" s="332">
        <f>Customize!P52</f>
        <v>0</v>
      </c>
      <c r="D173" s="332">
        <f>Customize!P53</f>
        <v>0</v>
      </c>
      <c r="E173" s="332">
        <f>Customize!P54</f>
        <v>0</v>
      </c>
      <c r="F173" s="332">
        <f>Customize!P55</f>
        <v>0</v>
      </c>
      <c r="G173" s="332">
        <f>Customize!P56</f>
        <v>0</v>
      </c>
      <c r="H173" s="332">
        <f>Customize!P57</f>
        <v>0</v>
      </c>
      <c r="I173" s="332">
        <f>Customize!P58</f>
        <v>0</v>
      </c>
      <c r="J173" s="332">
        <f>Customize!P59</f>
        <v>0</v>
      </c>
      <c r="K173" s="332">
        <f>Customize!P60</f>
        <v>0</v>
      </c>
      <c r="L173" s="332">
        <f>Customize!P61</f>
        <v>0</v>
      </c>
      <c r="M173" s="332">
        <f>Customize!P62</f>
        <v>0</v>
      </c>
      <c r="N173" s="332">
        <f>Customize!P63</f>
        <v>0</v>
      </c>
      <c r="O173" s="332">
        <f>Customize!P64</f>
        <v>0</v>
      </c>
      <c r="P173" s="332">
        <f>Customize!P65</f>
        <v>0</v>
      </c>
      <c r="Q173" s="383"/>
      <c r="AB173" s="48"/>
      <c r="AC173" s="48"/>
      <c r="AD173" s="48"/>
      <c r="AE173" s="48"/>
      <c r="AF173" s="48"/>
      <c r="AG173" s="48"/>
      <c r="AH173" s="48"/>
      <c r="AI173" s="48"/>
    </row>
    <row r="174" spans="1:35" ht="15.75" x14ac:dyDescent="0.25">
      <c r="A174" s="467" t="str">
        <f>IF(wp_custom2="", "", wp_custom2)</f>
        <v>W.P. #2</v>
      </c>
      <c r="B174" s="332">
        <f>Customize!G72</f>
        <v>0</v>
      </c>
      <c r="C174" s="332">
        <f>Customize!G73</f>
        <v>0</v>
      </c>
      <c r="D174" s="332">
        <f>Customize!G74</f>
        <v>0</v>
      </c>
      <c r="E174" s="332">
        <f>Customize!G75</f>
        <v>0</v>
      </c>
      <c r="F174" s="332">
        <f>Customize!G76</f>
        <v>0</v>
      </c>
      <c r="G174" s="332">
        <f>Customize!G77</f>
        <v>0</v>
      </c>
      <c r="H174" s="332">
        <f>Customize!G78</f>
        <v>0</v>
      </c>
      <c r="I174" s="332">
        <f>Customize!G79</f>
        <v>0</v>
      </c>
      <c r="J174" s="332">
        <f>Customize!G80</f>
        <v>0</v>
      </c>
      <c r="K174" s="332">
        <f>Customize!G81</f>
        <v>0</v>
      </c>
      <c r="L174" s="332">
        <f>Customize!G82</f>
        <v>0</v>
      </c>
      <c r="M174" s="332">
        <f>Customize!G83</f>
        <v>0</v>
      </c>
      <c r="N174" s="332">
        <f>Customize!G84</f>
        <v>0</v>
      </c>
      <c r="O174" s="332">
        <f>Customize!G85</f>
        <v>0</v>
      </c>
      <c r="P174" s="332">
        <f>Customize!G86</f>
        <v>0</v>
      </c>
      <c r="Q174" s="383"/>
      <c r="AB174" s="48"/>
      <c r="AC174" s="48"/>
      <c r="AD174" s="48"/>
      <c r="AE174" s="48"/>
      <c r="AF174" s="48"/>
      <c r="AG174" s="48"/>
      <c r="AH174" s="48"/>
      <c r="AI174" s="48"/>
    </row>
    <row r="175" spans="1:35" ht="15.75" x14ac:dyDescent="0.25">
      <c r="A175" s="467" t="str">
        <f>IF(wp_custom3="", "", wp_custom3)</f>
        <v>W.P. #3</v>
      </c>
      <c r="B175" s="332">
        <f>Customize!P72</f>
        <v>0</v>
      </c>
      <c r="C175" s="332">
        <f>Customize!P73</f>
        <v>0</v>
      </c>
      <c r="D175" s="332">
        <f>Customize!P74</f>
        <v>0</v>
      </c>
      <c r="E175" s="332">
        <f>Customize!P75</f>
        <v>0</v>
      </c>
      <c r="F175" s="332">
        <f>Customize!P76</f>
        <v>0</v>
      </c>
      <c r="G175" s="332">
        <f>Customize!P77</f>
        <v>0</v>
      </c>
      <c r="H175" s="332">
        <f>Customize!P78</f>
        <v>0</v>
      </c>
      <c r="I175" s="332">
        <f>Customize!P79</f>
        <v>0</v>
      </c>
      <c r="J175" s="332">
        <f>Customize!P80</f>
        <v>0</v>
      </c>
      <c r="K175" s="332">
        <f>Customize!P81</f>
        <v>0</v>
      </c>
      <c r="L175" s="332">
        <f>Customize!P82</f>
        <v>0</v>
      </c>
      <c r="M175" s="332">
        <f>Customize!P83</f>
        <v>0</v>
      </c>
      <c r="N175" s="332">
        <f>Customize!P84</f>
        <v>0</v>
      </c>
      <c r="O175" s="332">
        <f>Customize!P85</f>
        <v>0</v>
      </c>
      <c r="P175" s="332">
        <f>Customize!P86</f>
        <v>0</v>
      </c>
      <c r="Q175" s="383"/>
      <c r="AB175" s="48"/>
      <c r="AC175" s="48"/>
      <c r="AD175" s="48"/>
      <c r="AE175" s="48"/>
      <c r="AF175" s="48"/>
      <c r="AG175" s="48"/>
      <c r="AH175" s="48"/>
      <c r="AI175" s="48"/>
    </row>
    <row r="176" spans="1:35" x14ac:dyDescent="0.25">
      <c r="A176" s="383"/>
      <c r="B176" s="383"/>
      <c r="C176" s="383"/>
      <c r="D176" s="383"/>
      <c r="E176" s="383"/>
      <c r="F176" s="383"/>
      <c r="G176" s="383"/>
      <c r="H176" s="383"/>
      <c r="I176" s="383"/>
      <c r="J176" s="383"/>
      <c r="K176" s="383"/>
      <c r="L176" s="383"/>
      <c r="M176" s="383"/>
      <c r="N176" s="383"/>
      <c r="O176" s="383"/>
      <c r="P176" s="383"/>
      <c r="Q176" s="383"/>
      <c r="AB176" s="48"/>
      <c r="AC176" s="48"/>
      <c r="AD176" s="48"/>
      <c r="AE176" s="48"/>
      <c r="AF176" s="48"/>
      <c r="AG176" s="48"/>
      <c r="AH176" s="48"/>
      <c r="AI176" s="48"/>
    </row>
    <row r="177" spans="1:35" x14ac:dyDescent="0.25">
      <c r="A177" s="1460" t="s">
        <v>299</v>
      </c>
      <c r="B177" s="1460"/>
      <c r="C177" s="1460"/>
      <c r="D177" s="1460"/>
      <c r="E177" s="1460"/>
      <c r="F177" s="1460"/>
      <c r="G177" s="1460"/>
      <c r="H177" s="1460"/>
      <c r="I177" s="1460"/>
      <c r="J177" s="1460"/>
      <c r="K177" s="1460"/>
      <c r="L177" s="1460"/>
      <c r="M177" s="1460"/>
      <c r="N177" s="1460"/>
      <c r="O177" s="1460"/>
      <c r="P177" s="1460"/>
      <c r="Q177" s="383"/>
      <c r="AB177" s="48"/>
      <c r="AC177" s="48"/>
      <c r="AD177" s="48"/>
      <c r="AE177" s="48"/>
      <c r="AF177" s="48"/>
      <c r="AG177" s="48"/>
      <c r="AH177" s="48"/>
      <c r="AI177" s="48"/>
    </row>
    <row r="178" spans="1:35" x14ac:dyDescent="0.25">
      <c r="A178" s="332"/>
      <c r="B178" s="465">
        <v>1</v>
      </c>
      <c r="C178" s="465">
        <v>2</v>
      </c>
      <c r="D178" s="465">
        <v>3</v>
      </c>
      <c r="E178" s="465">
        <v>4</v>
      </c>
      <c r="F178" s="465">
        <v>5</v>
      </c>
      <c r="G178" s="465">
        <v>6</v>
      </c>
      <c r="H178" s="465">
        <v>7</v>
      </c>
      <c r="I178" s="465">
        <v>8</v>
      </c>
      <c r="J178" s="465">
        <v>9</v>
      </c>
      <c r="K178" s="465">
        <v>10</v>
      </c>
      <c r="L178" s="465">
        <v>11</v>
      </c>
      <c r="M178" s="465">
        <v>12</v>
      </c>
      <c r="N178" s="465">
        <v>13</v>
      </c>
      <c r="O178" s="465">
        <v>14</v>
      </c>
      <c r="P178" s="465">
        <v>15</v>
      </c>
      <c r="Q178" s="383"/>
      <c r="AB178" s="48"/>
      <c r="AC178" s="48"/>
      <c r="AD178" s="48"/>
      <c r="AE178" s="48"/>
      <c r="AF178" s="48"/>
      <c r="AG178" s="48"/>
      <c r="AH178" s="48"/>
      <c r="AI178" s="48"/>
    </row>
    <row r="179" spans="1:35" ht="15.75" x14ac:dyDescent="0.25">
      <c r="A179" s="466" t="s">
        <v>444</v>
      </c>
      <c r="B179" s="332">
        <v>2</v>
      </c>
      <c r="C179" s="332">
        <v>3</v>
      </c>
      <c r="D179" s="332">
        <v>4</v>
      </c>
      <c r="E179" s="332">
        <f>IF(occ="Long Bowman", 5, 4)</f>
        <v>4</v>
      </c>
      <c r="F179" s="332">
        <f>IF(occ="Long Bowman", 6, 5)</f>
        <v>5</v>
      </c>
      <c r="G179" s="332">
        <f>IF(occ="Long Bowman", 7, 5)</f>
        <v>5</v>
      </c>
      <c r="H179" s="332">
        <f>IF(occ="Long Bowman", 7, 6)</f>
        <v>6</v>
      </c>
      <c r="I179" s="332">
        <f>IF(occ="Long Bowman", 8, 6)</f>
        <v>6</v>
      </c>
      <c r="J179" s="332">
        <f>IF(occ="Long Bowman", 8, 7)</f>
        <v>7</v>
      </c>
      <c r="K179" s="332">
        <f>IF(occ="Long Bowman", 9, 7)</f>
        <v>7</v>
      </c>
      <c r="L179" s="332">
        <f>IF(occ="Long Bowman", 9, 7)</f>
        <v>7</v>
      </c>
      <c r="M179" s="332">
        <f>IF(occ="Long Bowman", 10, 8)</f>
        <v>8</v>
      </c>
      <c r="N179" s="332">
        <f>IF(occ="Long Bowman", 10, 8)</f>
        <v>8</v>
      </c>
      <c r="O179" s="332">
        <f>IF(occ="Long Bowman", 11, 8)</f>
        <v>8</v>
      </c>
      <c r="P179" s="332">
        <f>IF(occ="Long Bowman", 11, 8)</f>
        <v>8</v>
      </c>
      <c r="Q179" s="383"/>
      <c r="AB179" s="48"/>
      <c r="AC179" s="48"/>
      <c r="AD179" s="48"/>
      <c r="AE179" s="48"/>
      <c r="AF179" s="48"/>
      <c r="AG179" s="48"/>
      <c r="AH179" s="48"/>
      <c r="AI179" s="48"/>
    </row>
    <row r="180" spans="1:35" ht="15.75" x14ac:dyDescent="0.25">
      <c r="A180" s="466" t="s">
        <v>446</v>
      </c>
      <c r="B180" s="332"/>
      <c r="C180" s="332"/>
      <c r="D180" s="332"/>
      <c r="E180" s="332"/>
      <c r="F180" s="332"/>
      <c r="G180" s="332"/>
      <c r="H180" s="332"/>
      <c r="I180" s="332"/>
      <c r="J180" s="332"/>
      <c r="K180" s="332"/>
      <c r="L180" s="332"/>
      <c r="M180" s="332"/>
      <c r="N180" s="332"/>
      <c r="O180" s="332"/>
      <c r="P180" s="332"/>
      <c r="Q180" s="383"/>
      <c r="AB180" s="48"/>
      <c r="AC180" s="48"/>
      <c r="AD180" s="48"/>
      <c r="AE180" s="48"/>
      <c r="AF180" s="48"/>
      <c r="AG180" s="48"/>
      <c r="AH180" s="48"/>
      <c r="AI180" s="48"/>
    </row>
    <row r="181" spans="1:35" ht="15.75" x14ac:dyDescent="0.25">
      <c r="A181" s="466" t="s">
        <v>447</v>
      </c>
      <c r="B181" s="332"/>
      <c r="C181" s="332"/>
      <c r="D181" s="332"/>
      <c r="E181" s="332"/>
      <c r="F181" s="332"/>
      <c r="G181" s="332"/>
      <c r="H181" s="332"/>
      <c r="I181" s="332"/>
      <c r="J181" s="332"/>
      <c r="K181" s="332"/>
      <c r="L181" s="332"/>
      <c r="M181" s="332"/>
      <c r="N181" s="332"/>
      <c r="O181" s="332"/>
      <c r="P181" s="332"/>
      <c r="Q181" s="383"/>
      <c r="AB181" s="48"/>
      <c r="AC181" s="48"/>
      <c r="AD181" s="48"/>
      <c r="AE181" s="48"/>
      <c r="AF181" s="48"/>
      <c r="AG181" s="48"/>
      <c r="AH181" s="48"/>
      <c r="AI181" s="48"/>
    </row>
    <row r="182" spans="1:35" ht="15.75" x14ac:dyDescent="0.25">
      <c r="A182" s="466" t="s">
        <v>448</v>
      </c>
      <c r="B182" s="332"/>
      <c r="C182" s="332"/>
      <c r="D182" s="332"/>
      <c r="E182" s="332"/>
      <c r="F182" s="332"/>
      <c r="G182" s="332"/>
      <c r="H182" s="332"/>
      <c r="I182" s="332"/>
      <c r="J182" s="332"/>
      <c r="K182" s="332"/>
      <c r="L182" s="332"/>
      <c r="M182" s="332"/>
      <c r="N182" s="332"/>
      <c r="O182" s="332"/>
      <c r="P182" s="332"/>
      <c r="Q182" s="383"/>
      <c r="AB182" s="48"/>
      <c r="AC182" s="48"/>
      <c r="AD182" s="48"/>
      <c r="AE182" s="48"/>
      <c r="AF182" s="48"/>
      <c r="AG182" s="48"/>
      <c r="AH182" s="48"/>
      <c r="AI182" s="48"/>
    </row>
    <row r="183" spans="1:35" ht="15.75" x14ac:dyDescent="0.25">
      <c r="A183" s="466" t="s">
        <v>449</v>
      </c>
      <c r="B183" s="332"/>
      <c r="C183" s="332"/>
      <c r="D183" s="332"/>
      <c r="E183" s="332"/>
      <c r="F183" s="332"/>
      <c r="G183" s="332"/>
      <c r="H183" s="332"/>
      <c r="I183" s="332"/>
      <c r="J183" s="332"/>
      <c r="K183" s="332"/>
      <c r="L183" s="332"/>
      <c r="M183" s="332"/>
      <c r="N183" s="332"/>
      <c r="O183" s="332"/>
      <c r="P183" s="332"/>
      <c r="Q183" s="383"/>
      <c r="AB183" s="48"/>
      <c r="AC183" s="48"/>
      <c r="AD183" s="48"/>
      <c r="AE183" s="48"/>
      <c r="AF183" s="48"/>
      <c r="AG183" s="48"/>
      <c r="AH183" s="48"/>
      <c r="AI183" s="48"/>
    </row>
    <row r="184" spans="1:35" ht="15.75" x14ac:dyDescent="0.25">
      <c r="A184" s="466" t="s">
        <v>450</v>
      </c>
      <c r="B184" s="332"/>
      <c r="C184" s="332"/>
      <c r="D184" s="332"/>
      <c r="E184" s="332"/>
      <c r="F184" s="332"/>
      <c r="G184" s="332"/>
      <c r="H184" s="332"/>
      <c r="I184" s="332"/>
      <c r="J184" s="332"/>
      <c r="K184" s="332"/>
      <c r="L184" s="332"/>
      <c r="M184" s="332"/>
      <c r="N184" s="332"/>
      <c r="O184" s="332"/>
      <c r="P184" s="332"/>
      <c r="Q184" s="383"/>
      <c r="AB184" s="48"/>
      <c r="AC184" s="48"/>
      <c r="AD184" s="48"/>
      <c r="AE184" s="48"/>
      <c r="AF184" s="48"/>
      <c r="AG184" s="48"/>
      <c r="AH184" s="48"/>
      <c r="AI184" s="48"/>
    </row>
    <row r="185" spans="1:35" ht="15.75" x14ac:dyDescent="0.25">
      <c r="A185" s="466" t="s">
        <v>451</v>
      </c>
      <c r="B185" s="332"/>
      <c r="C185" s="332"/>
      <c r="D185" s="332"/>
      <c r="E185" s="332"/>
      <c r="F185" s="332"/>
      <c r="G185" s="332"/>
      <c r="H185" s="332"/>
      <c r="I185" s="332"/>
      <c r="J185" s="332"/>
      <c r="K185" s="332"/>
      <c r="L185" s="332"/>
      <c r="M185" s="332"/>
      <c r="N185" s="332"/>
      <c r="O185" s="332"/>
      <c r="P185" s="332"/>
      <c r="Q185" s="383"/>
      <c r="AB185" s="48"/>
      <c r="AC185" s="48"/>
      <c r="AD185" s="48"/>
      <c r="AE185" s="48"/>
      <c r="AF185" s="48"/>
      <c r="AG185" s="48"/>
      <c r="AH185" s="48"/>
      <c r="AI185" s="48"/>
    </row>
    <row r="186" spans="1:35" ht="15.75" x14ac:dyDescent="0.25">
      <c r="A186" s="466" t="s">
        <v>452</v>
      </c>
      <c r="B186" s="332"/>
      <c r="C186" s="332"/>
      <c r="D186" s="332"/>
      <c r="E186" s="332"/>
      <c r="F186" s="332"/>
      <c r="G186" s="332"/>
      <c r="H186" s="332"/>
      <c r="I186" s="332"/>
      <c r="J186" s="332"/>
      <c r="K186" s="332"/>
      <c r="L186" s="332"/>
      <c r="M186" s="332"/>
      <c r="N186" s="332"/>
      <c r="O186" s="332"/>
      <c r="P186" s="332"/>
      <c r="Q186" s="383"/>
      <c r="AB186" s="48"/>
      <c r="AC186" s="48"/>
      <c r="AD186" s="48"/>
      <c r="AE186" s="48"/>
      <c r="AF186" s="48"/>
      <c r="AG186" s="48"/>
      <c r="AH186" s="48"/>
      <c r="AI186" s="48"/>
    </row>
    <row r="187" spans="1:35" ht="15.75" x14ac:dyDescent="0.25">
      <c r="A187" s="466" t="s">
        <v>657</v>
      </c>
      <c r="B187" s="332"/>
      <c r="C187" s="332"/>
      <c r="D187" s="332"/>
      <c r="E187" s="332"/>
      <c r="F187" s="332"/>
      <c r="G187" s="332"/>
      <c r="H187" s="332"/>
      <c r="I187" s="332"/>
      <c r="J187" s="332"/>
      <c r="K187" s="332"/>
      <c r="L187" s="332"/>
      <c r="M187" s="332"/>
      <c r="N187" s="332"/>
      <c r="O187" s="332"/>
      <c r="P187" s="332"/>
      <c r="Q187" s="383"/>
      <c r="AB187" s="48"/>
      <c r="AC187" s="48"/>
      <c r="AD187" s="48"/>
      <c r="AE187" s="48"/>
      <c r="AF187" s="48"/>
      <c r="AG187" s="48"/>
      <c r="AH187" s="48"/>
      <c r="AI187" s="48"/>
    </row>
    <row r="188" spans="1:35" ht="15.75" x14ac:dyDescent="0.25">
      <c r="A188" s="466" t="s">
        <v>453</v>
      </c>
      <c r="B188" s="332"/>
      <c r="C188" s="332"/>
      <c r="D188" s="332"/>
      <c r="E188" s="332"/>
      <c r="F188" s="332"/>
      <c r="G188" s="332"/>
      <c r="H188" s="332"/>
      <c r="I188" s="332"/>
      <c r="J188" s="332"/>
      <c r="K188" s="332"/>
      <c r="L188" s="332"/>
      <c r="M188" s="332"/>
      <c r="N188" s="332"/>
      <c r="O188" s="332"/>
      <c r="P188" s="332"/>
      <c r="Q188" s="383"/>
      <c r="AB188" s="48"/>
      <c r="AC188" s="48"/>
      <c r="AD188" s="48"/>
      <c r="AE188" s="48"/>
      <c r="AF188" s="48"/>
      <c r="AG188" s="48"/>
      <c r="AH188" s="48"/>
      <c r="AI188" s="48"/>
    </row>
    <row r="189" spans="1:35" ht="15.75" x14ac:dyDescent="0.25">
      <c r="A189" s="466" t="s">
        <v>454</v>
      </c>
      <c r="B189" s="332"/>
      <c r="C189" s="332"/>
      <c r="D189" s="332"/>
      <c r="E189" s="332"/>
      <c r="F189" s="332"/>
      <c r="G189" s="332"/>
      <c r="H189" s="332"/>
      <c r="I189" s="332"/>
      <c r="J189" s="332"/>
      <c r="K189" s="332"/>
      <c r="L189" s="332"/>
      <c r="M189" s="332"/>
      <c r="N189" s="332"/>
      <c r="O189" s="332"/>
      <c r="P189" s="332"/>
      <c r="Q189" s="383"/>
      <c r="AB189" s="48"/>
      <c r="AC189" s="48"/>
      <c r="AD189" s="48"/>
      <c r="AE189" s="48"/>
      <c r="AF189" s="48"/>
      <c r="AG189" s="48"/>
      <c r="AH189" s="48"/>
      <c r="AI189" s="48"/>
    </row>
    <row r="190" spans="1:35" ht="15.75" x14ac:dyDescent="0.25">
      <c r="A190" s="466" t="s">
        <v>455</v>
      </c>
      <c r="B190" s="332">
        <f t="shared" ref="B190:P190" si="0">total_attack</f>
        <v>1</v>
      </c>
      <c r="C190" s="332">
        <f t="shared" si="0"/>
        <v>1</v>
      </c>
      <c r="D190" s="332">
        <f t="shared" si="0"/>
        <v>1</v>
      </c>
      <c r="E190" s="332">
        <f t="shared" si="0"/>
        <v>1</v>
      </c>
      <c r="F190" s="332">
        <f t="shared" si="0"/>
        <v>1</v>
      </c>
      <c r="G190" s="332">
        <f t="shared" si="0"/>
        <v>1</v>
      </c>
      <c r="H190" s="332">
        <f t="shared" si="0"/>
        <v>1</v>
      </c>
      <c r="I190" s="332">
        <f t="shared" si="0"/>
        <v>1</v>
      </c>
      <c r="J190" s="332">
        <f t="shared" si="0"/>
        <v>1</v>
      </c>
      <c r="K190" s="332">
        <f t="shared" si="0"/>
        <v>1</v>
      </c>
      <c r="L190" s="332">
        <f t="shared" si="0"/>
        <v>1</v>
      </c>
      <c r="M190" s="332">
        <f t="shared" si="0"/>
        <v>1</v>
      </c>
      <c r="N190" s="332">
        <f t="shared" si="0"/>
        <v>1</v>
      </c>
      <c r="O190" s="332">
        <f t="shared" si="0"/>
        <v>1</v>
      </c>
      <c r="P190" s="332">
        <f t="shared" si="0"/>
        <v>1</v>
      </c>
      <c r="Q190" s="383"/>
      <c r="R190" s="199"/>
      <c r="AB190" s="48"/>
      <c r="AC190" s="48"/>
      <c r="AD190" s="48"/>
      <c r="AE190" s="48"/>
      <c r="AF190" s="48"/>
      <c r="AG190" s="48"/>
      <c r="AH190" s="48"/>
      <c r="AI190" s="48"/>
    </row>
    <row r="191" spans="1:35" ht="15.75" x14ac:dyDescent="0.25">
      <c r="A191" s="466" t="s">
        <v>456</v>
      </c>
      <c r="B191" s="332"/>
      <c r="C191" s="332"/>
      <c r="D191" s="332"/>
      <c r="E191" s="332"/>
      <c r="F191" s="332"/>
      <c r="G191" s="332"/>
      <c r="H191" s="332"/>
      <c r="I191" s="332"/>
      <c r="J191" s="332"/>
      <c r="K191" s="332"/>
      <c r="L191" s="332"/>
      <c r="M191" s="332"/>
      <c r="N191" s="332"/>
      <c r="O191" s="332"/>
      <c r="P191" s="332"/>
      <c r="Q191" s="383"/>
      <c r="R191" s="199"/>
      <c r="AB191" s="48"/>
      <c r="AC191" s="48"/>
      <c r="AD191" s="48"/>
      <c r="AE191" s="48"/>
      <c r="AF191" s="48"/>
      <c r="AG191" s="48"/>
      <c r="AH191" s="48"/>
      <c r="AI191" s="48"/>
    </row>
    <row r="192" spans="1:35" ht="15.75" x14ac:dyDescent="0.25">
      <c r="A192" s="466" t="s">
        <v>457</v>
      </c>
      <c r="B192" s="332"/>
      <c r="C192" s="332"/>
      <c r="D192" s="332"/>
      <c r="E192" s="332"/>
      <c r="F192" s="332"/>
      <c r="G192" s="332"/>
      <c r="H192" s="332"/>
      <c r="I192" s="332"/>
      <c r="J192" s="332"/>
      <c r="K192" s="332"/>
      <c r="L192" s="332"/>
      <c r="M192" s="332"/>
      <c r="N192" s="332"/>
      <c r="O192" s="332"/>
      <c r="P192" s="332"/>
      <c r="Q192" s="383"/>
      <c r="R192" s="199"/>
      <c r="AB192" s="48"/>
      <c r="AC192" s="48"/>
      <c r="AD192" s="48"/>
      <c r="AE192" s="48"/>
      <c r="AF192" s="48"/>
      <c r="AG192" s="48"/>
      <c r="AH192" s="48"/>
      <c r="AI192" s="48"/>
    </row>
    <row r="193" spans="1:35" ht="15.75" x14ac:dyDescent="0.25">
      <c r="A193" s="466" t="s">
        <v>458</v>
      </c>
      <c r="B193" s="332"/>
      <c r="C193" s="332"/>
      <c r="D193" s="332"/>
      <c r="E193" s="332"/>
      <c r="F193" s="332"/>
      <c r="G193" s="332"/>
      <c r="H193" s="332"/>
      <c r="I193" s="332"/>
      <c r="J193" s="332"/>
      <c r="K193" s="332"/>
      <c r="L193" s="332"/>
      <c r="M193" s="332"/>
      <c r="N193" s="332"/>
      <c r="O193" s="332"/>
      <c r="P193" s="332"/>
      <c r="Q193" s="383"/>
      <c r="R193" s="199"/>
      <c r="AB193" s="48"/>
      <c r="AC193" s="48"/>
      <c r="AD193" s="48"/>
      <c r="AE193" s="48"/>
      <c r="AF193" s="48"/>
      <c r="AG193" s="48"/>
      <c r="AH193" s="48"/>
      <c r="AI193" s="48"/>
    </row>
    <row r="194" spans="1:35" ht="15.75" x14ac:dyDescent="0.25">
      <c r="A194" s="466" t="s">
        <v>459</v>
      </c>
      <c r="B194" s="332"/>
      <c r="C194" s="332"/>
      <c r="D194" s="332"/>
      <c r="E194" s="332"/>
      <c r="F194" s="332"/>
      <c r="G194" s="332"/>
      <c r="H194" s="332"/>
      <c r="I194" s="332"/>
      <c r="J194" s="332"/>
      <c r="K194" s="332"/>
      <c r="L194" s="332"/>
      <c r="M194" s="332"/>
      <c r="N194" s="332"/>
      <c r="O194" s="332"/>
      <c r="P194" s="332"/>
      <c r="Q194" s="383"/>
      <c r="R194" s="199"/>
      <c r="AB194" s="48"/>
      <c r="AC194" s="48"/>
      <c r="AD194" s="48"/>
      <c r="AE194" s="48"/>
      <c r="AF194" s="48"/>
      <c r="AG194" s="48"/>
      <c r="AH194" s="48"/>
      <c r="AI194" s="48"/>
    </row>
    <row r="195" spans="1:35" ht="15.75" x14ac:dyDescent="0.25">
      <c r="A195" s="466" t="s">
        <v>460</v>
      </c>
      <c r="B195" s="332"/>
      <c r="C195" s="332"/>
      <c r="D195" s="332"/>
      <c r="E195" s="332"/>
      <c r="F195" s="332"/>
      <c r="G195" s="332"/>
      <c r="H195" s="332"/>
      <c r="I195" s="332"/>
      <c r="J195" s="332"/>
      <c r="K195" s="332"/>
      <c r="L195" s="332"/>
      <c r="M195" s="332"/>
      <c r="N195" s="332"/>
      <c r="O195" s="332"/>
      <c r="P195" s="332"/>
      <c r="Q195" s="383"/>
      <c r="R195" s="199"/>
      <c r="AB195" s="48"/>
      <c r="AC195" s="48"/>
      <c r="AD195" s="48"/>
      <c r="AE195" s="48"/>
      <c r="AF195" s="48"/>
      <c r="AG195" s="48"/>
      <c r="AH195" s="48"/>
      <c r="AI195" s="48"/>
    </row>
    <row r="196" spans="1:35" ht="15.75" x14ac:dyDescent="0.25">
      <c r="A196" s="466" t="s">
        <v>461</v>
      </c>
      <c r="B196" s="332"/>
      <c r="C196" s="332"/>
      <c r="D196" s="332"/>
      <c r="E196" s="332"/>
      <c r="F196" s="332"/>
      <c r="G196" s="332"/>
      <c r="H196" s="332"/>
      <c r="I196" s="332"/>
      <c r="J196" s="332"/>
      <c r="K196" s="332"/>
      <c r="L196" s="332"/>
      <c r="M196" s="332"/>
      <c r="N196" s="332"/>
      <c r="O196" s="332"/>
      <c r="P196" s="332"/>
      <c r="Q196" s="383"/>
      <c r="R196" s="199"/>
      <c r="AB196" s="48"/>
      <c r="AC196" s="48"/>
      <c r="AD196" s="48"/>
      <c r="AE196" s="48"/>
      <c r="AF196" s="48"/>
      <c r="AG196" s="48"/>
      <c r="AH196" s="48"/>
      <c r="AI196" s="48"/>
    </row>
    <row r="197" spans="1:35" ht="15.75" x14ac:dyDescent="0.25">
      <c r="A197" s="466" t="s">
        <v>462</v>
      </c>
      <c r="B197" s="332"/>
      <c r="C197" s="332"/>
      <c r="D197" s="332"/>
      <c r="E197" s="332"/>
      <c r="F197" s="332"/>
      <c r="G197" s="332"/>
      <c r="H197" s="332"/>
      <c r="I197" s="332"/>
      <c r="J197" s="332"/>
      <c r="K197" s="332"/>
      <c r="L197" s="332"/>
      <c r="M197" s="332"/>
      <c r="N197" s="332"/>
      <c r="O197" s="332"/>
      <c r="P197" s="332"/>
      <c r="Q197" s="383"/>
      <c r="R197" s="199"/>
      <c r="AB197" s="48"/>
      <c r="AC197" s="48"/>
      <c r="AD197" s="48"/>
      <c r="AE197" s="48"/>
      <c r="AF197" s="48"/>
      <c r="AG197" s="48"/>
      <c r="AH197" s="48"/>
      <c r="AI197" s="48"/>
    </row>
    <row r="198" spans="1:35" ht="15.75" x14ac:dyDescent="0.25">
      <c r="A198" s="466" t="s">
        <v>463</v>
      </c>
      <c r="B198" s="332"/>
      <c r="C198" s="332"/>
      <c r="D198" s="332"/>
      <c r="E198" s="332"/>
      <c r="F198" s="332"/>
      <c r="G198" s="332"/>
      <c r="H198" s="332"/>
      <c r="I198" s="332"/>
      <c r="J198" s="332"/>
      <c r="K198" s="332"/>
      <c r="L198" s="332"/>
      <c r="M198" s="332"/>
      <c r="N198" s="332"/>
      <c r="O198" s="332"/>
      <c r="P198" s="332"/>
      <c r="Q198" s="383"/>
      <c r="R198" s="199"/>
      <c r="AB198" s="48"/>
      <c r="AC198" s="48"/>
      <c r="AD198" s="48"/>
      <c r="AE198" s="48"/>
      <c r="AF198" s="48"/>
      <c r="AG198" s="48"/>
      <c r="AH198" s="48"/>
      <c r="AI198" s="48"/>
    </row>
    <row r="199" spans="1:35" ht="15.75" x14ac:dyDescent="0.25">
      <c r="A199" s="466" t="s">
        <v>464</v>
      </c>
      <c r="B199" s="332">
        <f t="shared" ref="B199:P200" si="1">total_attack</f>
        <v>1</v>
      </c>
      <c r="C199" s="332">
        <f t="shared" si="1"/>
        <v>1</v>
      </c>
      <c r="D199" s="332">
        <f t="shared" si="1"/>
        <v>1</v>
      </c>
      <c r="E199" s="332">
        <f t="shared" si="1"/>
        <v>1</v>
      </c>
      <c r="F199" s="332">
        <f t="shared" si="1"/>
        <v>1</v>
      </c>
      <c r="G199" s="332">
        <f t="shared" si="1"/>
        <v>1</v>
      </c>
      <c r="H199" s="332">
        <f t="shared" si="1"/>
        <v>1</v>
      </c>
      <c r="I199" s="332">
        <f t="shared" si="1"/>
        <v>1</v>
      </c>
      <c r="J199" s="332">
        <f t="shared" si="1"/>
        <v>1</v>
      </c>
      <c r="K199" s="332">
        <f t="shared" si="1"/>
        <v>1</v>
      </c>
      <c r="L199" s="332">
        <f t="shared" si="1"/>
        <v>1</v>
      </c>
      <c r="M199" s="332">
        <f t="shared" si="1"/>
        <v>1</v>
      </c>
      <c r="N199" s="332">
        <f t="shared" si="1"/>
        <v>1</v>
      </c>
      <c r="O199" s="332">
        <f t="shared" si="1"/>
        <v>1</v>
      </c>
      <c r="P199" s="332">
        <f t="shared" si="1"/>
        <v>1</v>
      </c>
      <c r="Q199" s="383"/>
      <c r="R199" s="199"/>
      <c r="AB199" s="48"/>
      <c r="AC199" s="48"/>
      <c r="AD199" s="48"/>
      <c r="AE199" s="48"/>
      <c r="AF199" s="48"/>
      <c r="AG199" s="48"/>
      <c r="AH199" s="48"/>
      <c r="AI199" s="48"/>
    </row>
    <row r="200" spans="1:35" ht="15.75" x14ac:dyDescent="0.25">
      <c r="A200" s="466" t="s">
        <v>656</v>
      </c>
      <c r="B200" s="332">
        <f t="shared" si="1"/>
        <v>1</v>
      </c>
      <c r="C200" s="332">
        <f t="shared" si="1"/>
        <v>1</v>
      </c>
      <c r="D200" s="332">
        <f t="shared" si="1"/>
        <v>1</v>
      </c>
      <c r="E200" s="332">
        <f t="shared" si="1"/>
        <v>1</v>
      </c>
      <c r="F200" s="332">
        <f t="shared" si="1"/>
        <v>1</v>
      </c>
      <c r="G200" s="332">
        <f t="shared" si="1"/>
        <v>1</v>
      </c>
      <c r="H200" s="332">
        <f t="shared" si="1"/>
        <v>1</v>
      </c>
      <c r="I200" s="332">
        <f t="shared" si="1"/>
        <v>1</v>
      </c>
      <c r="J200" s="332">
        <f t="shared" si="1"/>
        <v>1</v>
      </c>
      <c r="K200" s="332">
        <f t="shared" si="1"/>
        <v>1</v>
      </c>
      <c r="L200" s="332">
        <f t="shared" si="1"/>
        <v>1</v>
      </c>
      <c r="M200" s="332">
        <f t="shared" si="1"/>
        <v>1</v>
      </c>
      <c r="N200" s="332">
        <f t="shared" si="1"/>
        <v>1</v>
      </c>
      <c r="O200" s="332">
        <f t="shared" si="1"/>
        <v>1</v>
      </c>
      <c r="P200" s="332">
        <f t="shared" si="1"/>
        <v>1</v>
      </c>
      <c r="Q200" s="383"/>
      <c r="R200" s="199"/>
      <c r="AB200" s="48"/>
      <c r="AC200" s="48"/>
      <c r="AD200" s="48"/>
      <c r="AE200" s="48"/>
      <c r="AF200" s="48"/>
      <c r="AG200" s="48"/>
      <c r="AH200" s="48"/>
      <c r="AI200" s="48"/>
    </row>
    <row r="201" spans="1:35" ht="15.75" x14ac:dyDescent="0.25">
      <c r="A201" s="466" t="s">
        <v>465</v>
      </c>
      <c r="B201" s="332"/>
      <c r="C201" s="332"/>
      <c r="D201" s="332"/>
      <c r="E201" s="332"/>
      <c r="F201" s="332"/>
      <c r="G201" s="332"/>
      <c r="H201" s="332"/>
      <c r="I201" s="332"/>
      <c r="J201" s="332"/>
      <c r="K201" s="332"/>
      <c r="L201" s="332"/>
      <c r="M201" s="332"/>
      <c r="N201" s="332"/>
      <c r="O201" s="332"/>
      <c r="P201" s="332"/>
      <c r="Q201" s="383"/>
      <c r="R201" s="199"/>
      <c r="AB201" s="48"/>
      <c r="AC201" s="48"/>
      <c r="AD201" s="48"/>
      <c r="AE201" s="48"/>
      <c r="AF201" s="48"/>
      <c r="AG201" s="48"/>
      <c r="AH201" s="48"/>
      <c r="AI201" s="48"/>
    </row>
    <row r="202" spans="1:35" ht="15.75" x14ac:dyDescent="0.25">
      <c r="A202" s="467" t="str">
        <f>IF(wp_custom1="", "", wp_custom1)</f>
        <v>W.P. #1</v>
      </c>
      <c r="B202" s="332">
        <f>Customize!Q51</f>
        <v>0</v>
      </c>
      <c r="C202" s="332">
        <f>Customize!Q52</f>
        <v>0</v>
      </c>
      <c r="D202" s="332">
        <f>Customize!Q53</f>
        <v>0</v>
      </c>
      <c r="E202" s="332">
        <f>Customize!Q54</f>
        <v>0</v>
      </c>
      <c r="F202" s="332">
        <f>Customize!Q55</f>
        <v>0</v>
      </c>
      <c r="G202" s="332">
        <f>Customize!Q56</f>
        <v>0</v>
      </c>
      <c r="H202" s="332">
        <f>Customize!Q57</f>
        <v>0</v>
      </c>
      <c r="I202" s="332">
        <f>Customize!Q58</f>
        <v>0</v>
      </c>
      <c r="J202" s="332">
        <f>Customize!Q59</f>
        <v>0</v>
      </c>
      <c r="K202" s="383">
        <f>Customize!Q60</f>
        <v>0</v>
      </c>
      <c r="L202" s="332">
        <f>Customize!Q61</f>
        <v>0</v>
      </c>
      <c r="M202" s="332">
        <f>Customize!Q62</f>
        <v>0</v>
      </c>
      <c r="N202" s="332">
        <f>Customize!Q63</f>
        <v>0</v>
      </c>
      <c r="O202" s="332">
        <f>Customize!Q64</f>
        <v>0</v>
      </c>
      <c r="P202" s="332">
        <f>Customize!Q65</f>
        <v>0</v>
      </c>
      <c r="Q202" s="383"/>
      <c r="R202" s="199"/>
      <c r="AB202" s="48"/>
      <c r="AC202" s="48"/>
      <c r="AD202" s="48"/>
      <c r="AE202" s="48"/>
      <c r="AF202" s="48"/>
      <c r="AG202" s="48"/>
      <c r="AH202" s="48"/>
      <c r="AI202" s="48"/>
    </row>
    <row r="203" spans="1:35" ht="15.75" x14ac:dyDescent="0.25">
      <c r="A203" s="467" t="str">
        <f>IF(wp_custom2="", "", wp_custom2)</f>
        <v>W.P. #2</v>
      </c>
      <c r="B203" s="332">
        <f>Customize!H72</f>
        <v>0</v>
      </c>
      <c r="C203" s="332">
        <f>Customize!H73</f>
        <v>0</v>
      </c>
      <c r="D203" s="332">
        <f>Customize!H74</f>
        <v>0</v>
      </c>
      <c r="E203" s="332">
        <f>Customize!H75</f>
        <v>0</v>
      </c>
      <c r="F203" s="332">
        <f>Customize!H76</f>
        <v>0</v>
      </c>
      <c r="G203" s="332">
        <f>Customize!H77</f>
        <v>0</v>
      </c>
      <c r="H203" s="332">
        <f>Customize!H78</f>
        <v>0</v>
      </c>
      <c r="I203" s="332">
        <f>Customize!H79</f>
        <v>0</v>
      </c>
      <c r="J203" s="332">
        <f>Customize!H80</f>
        <v>0</v>
      </c>
      <c r="K203" s="332">
        <f>Customize!H81</f>
        <v>0</v>
      </c>
      <c r="L203" s="332">
        <f>Customize!H82</f>
        <v>0</v>
      </c>
      <c r="M203" s="332">
        <f>Customize!H83</f>
        <v>0</v>
      </c>
      <c r="N203" s="332">
        <f>Customize!H84</f>
        <v>0</v>
      </c>
      <c r="O203" s="332">
        <f>Customize!H85</f>
        <v>0</v>
      </c>
      <c r="P203" s="332">
        <f>Customize!H86</f>
        <v>0</v>
      </c>
      <c r="Q203" s="383"/>
      <c r="R203" s="199"/>
      <c r="AB203" s="48"/>
      <c r="AC203" s="48"/>
      <c r="AD203" s="48"/>
      <c r="AE203" s="48"/>
      <c r="AF203" s="48"/>
      <c r="AG203" s="48"/>
      <c r="AH203" s="48"/>
      <c r="AI203" s="48"/>
    </row>
    <row r="204" spans="1:35" ht="15.75" x14ac:dyDescent="0.25">
      <c r="A204" s="467" t="str">
        <f>IF(wp_custom3="", "", wp_custom3)</f>
        <v>W.P. #3</v>
      </c>
      <c r="B204" s="332">
        <f>Customize!Q72</f>
        <v>0</v>
      </c>
      <c r="C204" s="332">
        <f>Customize!Q73</f>
        <v>0</v>
      </c>
      <c r="D204" s="332">
        <f>Customize!Q74</f>
        <v>0</v>
      </c>
      <c r="E204" s="332">
        <f>Customize!Q75</f>
        <v>0</v>
      </c>
      <c r="F204" s="332">
        <f>Customize!Q76</f>
        <v>0</v>
      </c>
      <c r="G204" s="332">
        <f>Customize!Q77</f>
        <v>0</v>
      </c>
      <c r="H204" s="332">
        <f>Customize!Q78</f>
        <v>0</v>
      </c>
      <c r="I204" s="332">
        <f>Customize!Q79</f>
        <v>0</v>
      </c>
      <c r="J204" s="332">
        <f>Customize!Q80</f>
        <v>0</v>
      </c>
      <c r="K204" s="332">
        <f>Customize!Q81</f>
        <v>0</v>
      </c>
      <c r="L204" s="332">
        <f>Customize!Q82</f>
        <v>0</v>
      </c>
      <c r="M204" s="332">
        <f>Customize!Q83</f>
        <v>0</v>
      </c>
      <c r="N204" s="332">
        <f>Customize!Q84</f>
        <v>0</v>
      </c>
      <c r="O204" s="332">
        <f>Customize!Q85</f>
        <v>0</v>
      </c>
      <c r="P204" s="332">
        <f>Customize!Q86</f>
        <v>0</v>
      </c>
      <c r="Q204" s="383"/>
      <c r="R204" s="199"/>
      <c r="AB204" s="48"/>
      <c r="AC204" s="48"/>
      <c r="AD204" s="48"/>
      <c r="AE204" s="48"/>
      <c r="AF204" s="48"/>
      <c r="AG204" s="48"/>
      <c r="AH204" s="48"/>
      <c r="AI204" s="48"/>
    </row>
    <row r="205" spans="1:35" x14ac:dyDescent="0.25">
      <c r="A205" s="383"/>
      <c r="B205" s="383"/>
      <c r="C205" s="383"/>
      <c r="D205" s="383"/>
      <c r="E205" s="383"/>
      <c r="F205" s="383"/>
      <c r="G205" s="383"/>
      <c r="H205" s="383"/>
      <c r="I205" s="383"/>
      <c r="J205" s="383"/>
      <c r="K205" s="383"/>
      <c r="L205" s="383"/>
      <c r="M205" s="383"/>
      <c r="N205" s="383"/>
      <c r="O205" s="383"/>
      <c r="P205" s="383"/>
      <c r="Q205" s="383"/>
      <c r="AB205" s="48"/>
      <c r="AC205" s="48"/>
      <c r="AD205" s="48"/>
      <c r="AE205" s="48"/>
      <c r="AF205" s="48"/>
      <c r="AG205" s="48"/>
      <c r="AH205" s="48"/>
      <c r="AI205" s="48"/>
    </row>
    <row r="206" spans="1:35" x14ac:dyDescent="0.25">
      <c r="A206" s="1460" t="s">
        <v>678</v>
      </c>
      <c r="B206" s="1460"/>
      <c r="C206" s="1460"/>
      <c r="D206" s="1460"/>
      <c r="E206" s="1460"/>
      <c r="F206" s="1460"/>
      <c r="G206" s="1460"/>
      <c r="H206" s="1460"/>
      <c r="I206" s="1460"/>
      <c r="J206" s="1460"/>
      <c r="K206" s="1460"/>
      <c r="L206" s="1460"/>
      <c r="M206" s="1460"/>
      <c r="N206" s="1460"/>
      <c r="O206" s="1460"/>
      <c r="P206" s="1460"/>
      <c r="Q206" s="383"/>
      <c r="AB206" s="48"/>
      <c r="AC206" s="48"/>
      <c r="AD206" s="48"/>
      <c r="AE206" s="48"/>
      <c r="AF206" s="48"/>
      <c r="AG206" s="48"/>
      <c r="AH206" s="48"/>
      <c r="AI206" s="48"/>
    </row>
    <row r="207" spans="1:35" x14ac:dyDescent="0.25">
      <c r="A207" s="332"/>
      <c r="B207" s="465">
        <v>1</v>
      </c>
      <c r="C207" s="465">
        <v>2</v>
      </c>
      <c r="D207" s="465">
        <v>3</v>
      </c>
      <c r="E207" s="465">
        <v>4</v>
      </c>
      <c r="F207" s="465">
        <v>5</v>
      </c>
      <c r="G207" s="465">
        <v>6</v>
      </c>
      <c r="H207" s="465">
        <v>7</v>
      </c>
      <c r="I207" s="465">
        <v>8</v>
      </c>
      <c r="J207" s="465">
        <v>9</v>
      </c>
      <c r="K207" s="465">
        <v>10</v>
      </c>
      <c r="L207" s="465">
        <v>11</v>
      </c>
      <c r="M207" s="465">
        <v>12</v>
      </c>
      <c r="N207" s="465">
        <v>13</v>
      </c>
      <c r="O207" s="465">
        <v>14</v>
      </c>
      <c r="P207" s="465">
        <v>15</v>
      </c>
      <c r="Q207" s="383"/>
      <c r="AB207" s="48"/>
      <c r="AC207" s="48"/>
      <c r="AD207" s="48"/>
      <c r="AE207" s="48"/>
      <c r="AF207" s="48"/>
      <c r="AG207" s="48"/>
      <c r="AH207" s="48"/>
      <c r="AI207" s="48"/>
    </row>
    <row r="208" spans="1:35" ht="15.75" x14ac:dyDescent="0.25">
      <c r="A208" s="466" t="s">
        <v>679</v>
      </c>
      <c r="B208" s="332"/>
      <c r="C208" s="332">
        <v>1</v>
      </c>
      <c r="D208" s="332">
        <v>1</v>
      </c>
      <c r="E208" s="332">
        <v>1</v>
      </c>
      <c r="F208" s="332">
        <v>2</v>
      </c>
      <c r="G208" s="332">
        <v>2</v>
      </c>
      <c r="H208" s="332">
        <v>2</v>
      </c>
      <c r="I208" s="332">
        <v>2</v>
      </c>
      <c r="J208" s="332">
        <v>2</v>
      </c>
      <c r="K208" s="332">
        <v>3</v>
      </c>
      <c r="L208" s="332">
        <v>3</v>
      </c>
      <c r="M208" s="332">
        <v>3</v>
      </c>
      <c r="N208" s="332">
        <v>3</v>
      </c>
      <c r="O208" s="332">
        <v>3</v>
      </c>
      <c r="P208" s="332">
        <v>3</v>
      </c>
      <c r="Q208" s="383"/>
      <c r="AB208" s="48"/>
      <c r="AC208" s="48"/>
      <c r="AD208" s="48"/>
      <c r="AE208" s="48"/>
      <c r="AF208" s="48"/>
      <c r="AG208" s="48"/>
      <c r="AH208" s="48"/>
      <c r="AI208" s="48"/>
    </row>
    <row r="209" spans="1:36" x14ac:dyDescent="0.25">
      <c r="A209" s="383"/>
      <c r="B209" s="383"/>
      <c r="C209" s="383"/>
      <c r="D209" s="383"/>
      <c r="E209" s="383"/>
      <c r="F209" s="383"/>
      <c r="G209" s="383"/>
      <c r="H209" s="383"/>
      <c r="I209" s="383"/>
      <c r="J209" s="383"/>
      <c r="K209" s="383"/>
      <c r="L209" s="383"/>
      <c r="M209" s="383"/>
      <c r="N209" s="383"/>
      <c r="O209" s="383"/>
      <c r="P209" s="383"/>
      <c r="Q209" s="383"/>
      <c r="AB209" s="48"/>
      <c r="AC209" s="48"/>
      <c r="AD209" s="48"/>
      <c r="AE209" s="48"/>
      <c r="AF209" s="48"/>
      <c r="AG209" s="48"/>
      <c r="AH209" s="48"/>
      <c r="AI209" s="48"/>
    </row>
    <row r="210" spans="1:36" x14ac:dyDescent="0.25">
      <c r="A210" s="1460" t="s">
        <v>684</v>
      </c>
      <c r="B210" s="1460"/>
      <c r="C210" s="1460"/>
      <c r="D210" s="1460"/>
      <c r="E210" s="1460"/>
      <c r="F210" s="1460"/>
      <c r="G210" s="1460"/>
      <c r="H210" s="1460"/>
      <c r="I210" s="1460"/>
      <c r="J210" s="1460"/>
      <c r="K210" s="1460"/>
      <c r="L210" s="1460"/>
      <c r="M210" s="1460"/>
      <c r="N210" s="1460"/>
      <c r="O210" s="1460"/>
      <c r="P210" s="1460"/>
      <c r="Q210" s="1460"/>
      <c r="AB210" s="48"/>
      <c r="AC210" s="48"/>
      <c r="AD210" s="48"/>
      <c r="AE210" s="48"/>
      <c r="AF210" s="48"/>
      <c r="AG210" s="48"/>
      <c r="AH210" s="48"/>
      <c r="AI210" s="48"/>
    </row>
    <row r="211" spans="1:36" x14ac:dyDescent="0.25">
      <c r="A211" s="332"/>
      <c r="B211" s="465" t="s">
        <v>662</v>
      </c>
      <c r="C211" s="465">
        <v>1</v>
      </c>
      <c r="D211" s="465">
        <v>2</v>
      </c>
      <c r="E211" s="465">
        <v>3</v>
      </c>
      <c r="F211" s="465">
        <v>4</v>
      </c>
      <c r="G211" s="465">
        <v>5</v>
      </c>
      <c r="H211" s="465">
        <v>6</v>
      </c>
      <c r="I211" s="465">
        <v>7</v>
      </c>
      <c r="J211" s="465">
        <v>8</v>
      </c>
      <c r="K211" s="465">
        <v>9</v>
      </c>
      <c r="L211" s="465">
        <v>10</v>
      </c>
      <c r="M211" s="465">
        <v>11</v>
      </c>
      <c r="N211" s="465">
        <v>12</v>
      </c>
      <c r="O211" s="465">
        <v>13</v>
      </c>
      <c r="P211" s="465">
        <v>14</v>
      </c>
      <c r="Q211" s="465">
        <v>15</v>
      </c>
      <c r="AC211" s="48"/>
      <c r="AD211" s="48"/>
      <c r="AE211" s="48"/>
      <c r="AF211" s="48"/>
      <c r="AG211" s="48"/>
      <c r="AH211" s="48"/>
      <c r="AI211" s="48"/>
      <c r="AJ211" s="48"/>
    </row>
    <row r="212" spans="1:36" ht="15.75" x14ac:dyDescent="0.25">
      <c r="A212" s="466" t="s">
        <v>444</v>
      </c>
      <c r="B212" s="468" t="s">
        <v>176</v>
      </c>
      <c r="C212" s="463" t="str">
        <f>plus&amp;IF(occ="Long Bowman", 25, 20)</f>
        <v>+20</v>
      </c>
      <c r="D212" s="463" t="str">
        <f>plus&amp;IF(occ="Long Bowman", 50, 40)</f>
        <v>+40</v>
      </c>
      <c r="E212" s="463" t="str">
        <f>plus&amp;IF(occ="Long Bowman", 75, 60)</f>
        <v>+60</v>
      </c>
      <c r="F212" s="463" t="str">
        <f>plus&amp;IF(occ="Long Bowman", 100, 80)</f>
        <v>+80</v>
      </c>
      <c r="G212" s="463" t="str">
        <f>plus&amp;IF(occ="Long Bowman", 125, 100)</f>
        <v>+100</v>
      </c>
      <c r="H212" s="463" t="str">
        <f>plus&amp;IF(occ="Long Bowman", 150, 120)</f>
        <v>+120</v>
      </c>
      <c r="I212" s="463" t="str">
        <f>plus&amp;IF(occ="Long Bowman", 175, 140)</f>
        <v>+140</v>
      </c>
      <c r="J212" s="463" t="str">
        <f>plus&amp;IF(occ="Long Bowman", 200, 160)</f>
        <v>+160</v>
      </c>
      <c r="K212" s="463" t="str">
        <f>plus&amp;IF(occ="Long Bowman", 225, 180)</f>
        <v>+180</v>
      </c>
      <c r="L212" s="463" t="str">
        <f>plus&amp;IF(occ="Long Bowman", 250, 200)</f>
        <v>+200</v>
      </c>
      <c r="M212" s="463" t="str">
        <f>plus&amp;IF(occ="Long Bowman", 275, 220)</f>
        <v>+220</v>
      </c>
      <c r="N212" s="463" t="str">
        <f>plus&amp;IF(occ="Long Bowman", 300, 240)</f>
        <v>+240</v>
      </c>
      <c r="O212" s="463" t="str">
        <f>plus&amp;IF(occ="Long Bowman", 325, 260)</f>
        <v>+260</v>
      </c>
      <c r="P212" s="463" t="str">
        <f>plus&amp;IF(occ="Long Bowman", 350, 280)</f>
        <v>+280</v>
      </c>
      <c r="Q212" s="463" t="str">
        <f>plus&amp;IF(occ="Long Bowman", 375, 300)</f>
        <v>+300</v>
      </c>
      <c r="AC212" s="48"/>
      <c r="AD212" s="48"/>
      <c r="AE212" s="48"/>
      <c r="AF212" s="48"/>
      <c r="AG212" s="48"/>
      <c r="AH212" s="48"/>
      <c r="AI212" s="48"/>
      <c r="AJ212" s="48"/>
    </row>
    <row r="213" spans="1:36" ht="15.75" x14ac:dyDescent="0.25">
      <c r="A213" s="466" t="s">
        <v>446</v>
      </c>
      <c r="B213" s="468" t="s">
        <v>172</v>
      </c>
      <c r="C213" s="463"/>
      <c r="D213" s="463" t="str">
        <f>plus&amp;1</f>
        <v>+1</v>
      </c>
      <c r="E213" s="463" t="str">
        <f>plus&amp;1</f>
        <v>+1</v>
      </c>
      <c r="F213" s="463" t="str">
        <f>plus&amp;2</f>
        <v>+2</v>
      </c>
      <c r="G213" s="463" t="str">
        <f>plus&amp;2</f>
        <v>+2</v>
      </c>
      <c r="H213" s="463" t="str">
        <f>plus&amp;2</f>
        <v>+2</v>
      </c>
      <c r="I213" s="463" t="str">
        <f>plus&amp;2</f>
        <v>+2</v>
      </c>
      <c r="J213" s="463" t="str">
        <f>plus&amp;3</f>
        <v>+3</v>
      </c>
      <c r="K213" s="463" t="str">
        <f>plus&amp;3</f>
        <v>+3</v>
      </c>
      <c r="L213" s="463" t="str">
        <f>plus&amp;3</f>
        <v>+3</v>
      </c>
      <c r="M213" s="463" t="str">
        <f>plus&amp;3</f>
        <v>+3</v>
      </c>
      <c r="N213" s="463" t="str">
        <f>plus&amp;4</f>
        <v>+4</v>
      </c>
      <c r="O213" s="463" t="str">
        <f>plus&amp;4</f>
        <v>+4</v>
      </c>
      <c r="P213" s="463" t="str">
        <f>plus&amp;4</f>
        <v>+4</v>
      </c>
      <c r="Q213" s="463" t="str">
        <f>plus&amp;4</f>
        <v>+4</v>
      </c>
      <c r="AC213" s="48"/>
      <c r="AD213" s="48"/>
      <c r="AE213" s="48"/>
      <c r="AF213" s="48"/>
      <c r="AG213" s="48"/>
      <c r="AH213" s="48"/>
      <c r="AI213" s="48"/>
      <c r="AJ213" s="48"/>
    </row>
    <row r="214" spans="1:36" ht="15.75" x14ac:dyDescent="0.25">
      <c r="A214" s="466" t="s">
        <v>447</v>
      </c>
      <c r="B214" s="468" t="s">
        <v>172</v>
      </c>
      <c r="C214" s="463"/>
      <c r="D214" s="463"/>
      <c r="E214" s="463"/>
      <c r="F214" s="463"/>
      <c r="G214" s="463" t="str">
        <f>plus&amp;1</f>
        <v>+1</v>
      </c>
      <c r="H214" s="463" t="str">
        <f>plus&amp;1</f>
        <v>+1</v>
      </c>
      <c r="I214" s="463" t="str">
        <f>plus&amp;1</f>
        <v>+1</v>
      </c>
      <c r="J214" s="463" t="str">
        <f>plus&amp;1</f>
        <v>+1</v>
      </c>
      <c r="K214" s="463" t="str">
        <f>plus&amp;1</f>
        <v>+1</v>
      </c>
      <c r="L214" s="463" t="str">
        <f>plus&amp;2</f>
        <v>+2</v>
      </c>
      <c r="M214" s="463" t="str">
        <f>plus&amp;2</f>
        <v>+2</v>
      </c>
      <c r="N214" s="463" t="str">
        <f>plus&amp;2</f>
        <v>+2</v>
      </c>
      <c r="O214" s="463" t="str">
        <f>plus&amp;2</f>
        <v>+2</v>
      </c>
      <c r="P214" s="463" t="str">
        <f>plus&amp;2</f>
        <v>+2</v>
      </c>
      <c r="Q214" s="463" t="str">
        <f>plus&amp;3</f>
        <v>+3</v>
      </c>
      <c r="AC214" s="48"/>
      <c r="AD214" s="48"/>
      <c r="AE214" s="48"/>
      <c r="AF214" s="48"/>
      <c r="AG214" s="48"/>
      <c r="AH214" s="48"/>
      <c r="AI214" s="48"/>
      <c r="AJ214" s="48"/>
    </row>
    <row r="215" spans="1:36" ht="15.75" x14ac:dyDescent="0.25">
      <c r="A215" s="466" t="s">
        <v>448</v>
      </c>
      <c r="B215" s="468" t="s">
        <v>240</v>
      </c>
      <c r="C215" s="463"/>
      <c r="D215" s="463" t="str">
        <f>plus&amp;1</f>
        <v>+1</v>
      </c>
      <c r="E215" s="463" t="str">
        <f>plus&amp;1</f>
        <v>+1</v>
      </c>
      <c r="F215" s="463" t="str">
        <f>plus&amp;1</f>
        <v>+1</v>
      </c>
      <c r="G215" s="463" t="str">
        <f>plus&amp;2</f>
        <v>+2</v>
      </c>
      <c r="H215" s="463" t="str">
        <f>plus&amp;2</f>
        <v>+2</v>
      </c>
      <c r="I215" s="463" t="str">
        <f>plus&amp;2</f>
        <v>+2</v>
      </c>
      <c r="J215" s="463" t="str">
        <f>plus&amp;2</f>
        <v>+2</v>
      </c>
      <c r="K215" s="463" t="str">
        <f>plus&amp;2</f>
        <v>+2</v>
      </c>
      <c r="L215" s="463" t="str">
        <f>plus&amp;3</f>
        <v>+3</v>
      </c>
      <c r="M215" s="463" t="str">
        <f>plus&amp;3</f>
        <v>+3</v>
      </c>
      <c r="N215" s="463" t="str">
        <f>plus&amp;3</f>
        <v>+3</v>
      </c>
      <c r="O215" s="463" t="str">
        <f>plus&amp;3</f>
        <v>+3</v>
      </c>
      <c r="P215" s="463" t="str">
        <f>plus&amp;3</f>
        <v>+3</v>
      </c>
      <c r="Q215" s="463" t="str">
        <f>plus&amp;4</f>
        <v>+4</v>
      </c>
      <c r="AC215" s="48"/>
      <c r="AD215" s="48"/>
      <c r="AE215" s="48"/>
      <c r="AF215" s="48"/>
      <c r="AG215" s="48"/>
      <c r="AH215" s="48"/>
      <c r="AI215" s="48"/>
      <c r="AJ215" s="48"/>
    </row>
    <row r="216" spans="1:36" ht="15.75" x14ac:dyDescent="0.25">
      <c r="A216" s="466" t="s">
        <v>449</v>
      </c>
      <c r="B216" s="468"/>
      <c r="C216" s="463"/>
      <c r="D216" s="463"/>
      <c r="E216" s="463"/>
      <c r="F216" s="463"/>
      <c r="G216" s="463"/>
      <c r="H216" s="463"/>
      <c r="I216" s="463"/>
      <c r="J216" s="463"/>
      <c r="K216" s="463"/>
      <c r="L216" s="463"/>
      <c r="M216" s="463"/>
      <c r="N216" s="463"/>
      <c r="O216" s="463"/>
      <c r="P216" s="463"/>
      <c r="Q216" s="463"/>
      <c r="AC216" s="48"/>
      <c r="AD216" s="48"/>
      <c r="AE216" s="48"/>
      <c r="AF216" s="48"/>
      <c r="AG216" s="48"/>
      <c r="AH216" s="48"/>
      <c r="AI216" s="48"/>
      <c r="AJ216" s="48"/>
    </row>
    <row r="217" spans="1:36" ht="15.75" x14ac:dyDescent="0.25">
      <c r="A217" s="466" t="s">
        <v>450</v>
      </c>
      <c r="B217" s="468" t="s">
        <v>240</v>
      </c>
      <c r="C217" s="463" t="str">
        <f>plus&amp;1</f>
        <v>+1</v>
      </c>
      <c r="D217" s="463" t="str">
        <f>plus&amp;1</f>
        <v>+1</v>
      </c>
      <c r="E217" s="463" t="str">
        <f>plus&amp;2</f>
        <v>+2</v>
      </c>
      <c r="F217" s="463" t="str">
        <f>plus&amp;2</f>
        <v>+2</v>
      </c>
      <c r="G217" s="463" t="str">
        <f>plus&amp;3</f>
        <v>+3</v>
      </c>
      <c r="H217" s="463" t="str">
        <f>plus&amp;3</f>
        <v>+3</v>
      </c>
      <c r="I217" s="463" t="str">
        <f>plus&amp;3</f>
        <v>+3</v>
      </c>
      <c r="J217" s="463" t="str">
        <f>plus&amp;4</f>
        <v>+4</v>
      </c>
      <c r="K217" s="463" t="str">
        <f>plus&amp;4</f>
        <v>+4</v>
      </c>
      <c r="L217" s="463" t="str">
        <f>plus&amp;4</f>
        <v>+4</v>
      </c>
      <c r="M217" s="463" t="str">
        <f>plus&amp;5</f>
        <v>+5</v>
      </c>
      <c r="N217" s="463" t="str">
        <f>plus&amp;5</f>
        <v>+5</v>
      </c>
      <c r="O217" s="463" t="str">
        <f>plus&amp;6</f>
        <v>+6</v>
      </c>
      <c r="P217" s="463" t="str">
        <f>plus&amp;6</f>
        <v>+6</v>
      </c>
      <c r="Q217" s="463" t="str">
        <f>plus&amp;6</f>
        <v>+6</v>
      </c>
      <c r="AC217" s="48"/>
      <c r="AD217" s="48"/>
      <c r="AE217" s="48"/>
      <c r="AF217" s="48"/>
      <c r="AG217" s="48"/>
      <c r="AH217" s="48"/>
      <c r="AI217" s="48"/>
      <c r="AJ217" s="48"/>
    </row>
    <row r="218" spans="1:36" ht="15.75" x14ac:dyDescent="0.25">
      <c r="A218" s="466" t="s">
        <v>451</v>
      </c>
      <c r="B218" s="468" t="s">
        <v>240</v>
      </c>
      <c r="C218" s="463"/>
      <c r="D218" s="463"/>
      <c r="E218" s="463" t="str">
        <f>plus&amp;1</f>
        <v>+1</v>
      </c>
      <c r="F218" s="463" t="str">
        <f>plus&amp;1</f>
        <v>+1</v>
      </c>
      <c r="G218" s="463" t="str">
        <f>plus&amp;1</f>
        <v>+1</v>
      </c>
      <c r="H218" s="463" t="str">
        <f>plus&amp;2</f>
        <v>+2</v>
      </c>
      <c r="I218" s="463" t="str">
        <f>plus&amp;2</f>
        <v>+2</v>
      </c>
      <c r="J218" s="463" t="str">
        <f>plus&amp;2</f>
        <v>+2</v>
      </c>
      <c r="K218" s="463" t="str">
        <f>plus&amp;3</f>
        <v>+3</v>
      </c>
      <c r="L218" s="463" t="str">
        <f>plus&amp;3</f>
        <v>+3</v>
      </c>
      <c r="M218" s="463" t="str">
        <f>plus&amp;3</f>
        <v>+3</v>
      </c>
      <c r="N218" s="463" t="str">
        <f>plus&amp;4</f>
        <v>+4</v>
      </c>
      <c r="O218" s="463" t="str">
        <f>plus&amp;4</f>
        <v>+4</v>
      </c>
      <c r="P218" s="463" t="str">
        <f>plus&amp;4</f>
        <v>+4</v>
      </c>
      <c r="Q218" s="463" t="str">
        <f>plus&amp;4</f>
        <v>+4</v>
      </c>
      <c r="AC218" s="48"/>
      <c r="AD218" s="48"/>
      <c r="AE218" s="48"/>
      <c r="AF218" s="48"/>
      <c r="AG218" s="48"/>
      <c r="AH218" s="48"/>
      <c r="AI218" s="48"/>
      <c r="AJ218" s="48"/>
    </row>
    <row r="219" spans="1:36" ht="15.75" x14ac:dyDescent="0.25">
      <c r="A219" s="466" t="s">
        <v>452</v>
      </c>
      <c r="B219" s="468"/>
      <c r="C219" s="463"/>
      <c r="D219" s="463"/>
      <c r="E219" s="463"/>
      <c r="F219" s="463"/>
      <c r="G219" s="463"/>
      <c r="H219" s="463"/>
      <c r="I219" s="463"/>
      <c r="J219" s="463"/>
      <c r="K219" s="463"/>
      <c r="L219" s="463"/>
      <c r="M219" s="463"/>
      <c r="N219" s="463"/>
      <c r="O219" s="463"/>
      <c r="P219" s="463"/>
      <c r="Q219" s="463"/>
      <c r="AC219" s="48"/>
      <c r="AD219" s="48"/>
      <c r="AE219" s="48"/>
      <c r="AF219" s="48"/>
      <c r="AG219" s="48"/>
      <c r="AH219" s="48"/>
      <c r="AI219" s="48"/>
      <c r="AJ219" s="48"/>
    </row>
    <row r="220" spans="1:36" ht="15.75" x14ac:dyDescent="0.25">
      <c r="A220" s="466" t="s">
        <v>657</v>
      </c>
      <c r="B220" s="468"/>
      <c r="C220" s="463"/>
      <c r="D220" s="463"/>
      <c r="E220" s="463"/>
      <c r="F220" s="463"/>
      <c r="G220" s="463"/>
      <c r="H220" s="463"/>
      <c r="I220" s="463"/>
      <c r="J220" s="463"/>
      <c r="K220" s="463"/>
      <c r="L220" s="463"/>
      <c r="M220" s="463"/>
      <c r="N220" s="463"/>
      <c r="O220" s="463"/>
      <c r="P220" s="463"/>
      <c r="Q220" s="463"/>
      <c r="AC220" s="48"/>
      <c r="AD220" s="48"/>
      <c r="AE220" s="48"/>
      <c r="AF220" s="48"/>
      <c r="AG220" s="48"/>
      <c r="AH220" s="48"/>
      <c r="AI220" s="48"/>
      <c r="AJ220" s="48"/>
    </row>
    <row r="221" spans="1:36" ht="15.75" x14ac:dyDescent="0.25">
      <c r="A221" s="466" t="s">
        <v>453</v>
      </c>
      <c r="B221" s="468"/>
      <c r="C221" s="463"/>
      <c r="D221" s="463"/>
      <c r="E221" s="463"/>
      <c r="F221" s="463"/>
      <c r="G221" s="463"/>
      <c r="H221" s="463"/>
      <c r="I221" s="463"/>
      <c r="J221" s="463"/>
      <c r="K221" s="463"/>
      <c r="L221" s="463"/>
      <c r="M221" s="463"/>
      <c r="N221" s="463"/>
      <c r="O221" s="463"/>
      <c r="P221" s="463"/>
      <c r="Q221" s="463"/>
      <c r="AC221" s="48"/>
      <c r="AD221" s="48"/>
      <c r="AE221" s="48"/>
      <c r="AF221" s="48"/>
      <c r="AG221" s="48"/>
      <c r="AH221" s="48"/>
      <c r="AI221" s="48"/>
      <c r="AJ221" s="48"/>
    </row>
    <row r="222" spans="1:36" ht="15.75" x14ac:dyDescent="0.25">
      <c r="A222" s="466" t="s">
        <v>454</v>
      </c>
      <c r="B222" s="468"/>
      <c r="C222" s="463"/>
      <c r="D222" s="463"/>
      <c r="E222" s="463"/>
      <c r="F222" s="463"/>
      <c r="G222" s="463"/>
      <c r="H222" s="463"/>
      <c r="I222" s="463"/>
      <c r="J222" s="463"/>
      <c r="K222" s="463"/>
      <c r="L222" s="463"/>
      <c r="M222" s="463"/>
      <c r="N222" s="463"/>
      <c r="O222" s="463"/>
      <c r="P222" s="463"/>
      <c r="Q222" s="463"/>
      <c r="AC222" s="48"/>
      <c r="AD222" s="48"/>
      <c r="AE222" s="48"/>
      <c r="AF222" s="48"/>
      <c r="AG222" s="48"/>
      <c r="AH222" s="48"/>
      <c r="AI222" s="48"/>
      <c r="AJ222" s="48"/>
    </row>
    <row r="223" spans="1:36" ht="15.75" x14ac:dyDescent="0.25">
      <c r="A223" s="466" t="s">
        <v>455</v>
      </c>
      <c r="B223" s="468"/>
      <c r="C223" s="463"/>
      <c r="D223" s="463"/>
      <c r="E223" s="463"/>
      <c r="F223" s="463"/>
      <c r="G223" s="463"/>
      <c r="H223" s="463"/>
      <c r="I223" s="463"/>
      <c r="J223" s="463"/>
      <c r="K223" s="463"/>
      <c r="L223" s="463"/>
      <c r="M223" s="463"/>
      <c r="N223" s="463"/>
      <c r="O223" s="463"/>
      <c r="P223" s="463"/>
      <c r="Q223" s="463"/>
      <c r="AC223" s="48"/>
      <c r="AD223" s="48"/>
      <c r="AE223" s="48"/>
      <c r="AF223" s="48"/>
      <c r="AG223" s="48"/>
      <c r="AH223" s="48"/>
      <c r="AI223" s="48"/>
      <c r="AJ223" s="48"/>
    </row>
    <row r="224" spans="1:36" ht="15.75" x14ac:dyDescent="0.25">
      <c r="A224" s="466" t="s">
        <v>456</v>
      </c>
      <c r="B224" s="468" t="s">
        <v>240</v>
      </c>
      <c r="C224" s="463"/>
      <c r="D224" s="463" t="str">
        <f>plus&amp;1</f>
        <v>+1</v>
      </c>
      <c r="E224" s="463" t="str">
        <f>plus&amp;1</f>
        <v>+1</v>
      </c>
      <c r="F224" s="463" t="str">
        <f>plus&amp;1</f>
        <v>+1</v>
      </c>
      <c r="G224" s="463" t="str">
        <f>plus&amp;2</f>
        <v>+2</v>
      </c>
      <c r="H224" s="463" t="str">
        <f>plus&amp;2</f>
        <v>+2</v>
      </c>
      <c r="I224" s="463" t="str">
        <f>plus&amp;2</f>
        <v>+2</v>
      </c>
      <c r="J224" s="463" t="str">
        <f>plus&amp;3</f>
        <v>+3</v>
      </c>
      <c r="K224" s="463" t="str">
        <f>plus&amp;3</f>
        <v>+3</v>
      </c>
      <c r="L224" s="463" t="str">
        <f>plus&amp;3</f>
        <v>+3</v>
      </c>
      <c r="M224" s="463" t="str">
        <f>plus&amp;4</f>
        <v>+4</v>
      </c>
      <c r="N224" s="463" t="str">
        <f>plus&amp;4</f>
        <v>+4</v>
      </c>
      <c r="O224" s="463" t="str">
        <f>plus&amp;4</f>
        <v>+4</v>
      </c>
      <c r="P224" s="463" t="str">
        <f>plus&amp;4</f>
        <v>+4</v>
      </c>
      <c r="Q224" s="463" t="str">
        <f>plus&amp;5</f>
        <v>+5</v>
      </c>
      <c r="AC224" s="48"/>
      <c r="AD224" s="48"/>
      <c r="AE224" s="48"/>
      <c r="AF224" s="48"/>
      <c r="AG224" s="48"/>
      <c r="AH224" s="48"/>
      <c r="AI224" s="48"/>
      <c r="AJ224" s="48"/>
    </row>
    <row r="225" spans="1:36" ht="15.75" x14ac:dyDescent="0.25">
      <c r="A225" s="466" t="s">
        <v>457</v>
      </c>
      <c r="B225" s="468"/>
      <c r="C225" s="463"/>
      <c r="D225" s="463"/>
      <c r="E225" s="463"/>
      <c r="F225" s="463"/>
      <c r="G225" s="463"/>
      <c r="H225" s="463"/>
      <c r="I225" s="463"/>
      <c r="J225" s="463"/>
      <c r="K225" s="463"/>
      <c r="L225" s="463"/>
      <c r="M225" s="463"/>
      <c r="N225" s="463"/>
      <c r="O225" s="463"/>
      <c r="P225" s="463"/>
      <c r="Q225" s="463"/>
      <c r="AC225" s="48"/>
      <c r="AD225" s="48"/>
      <c r="AE225" s="48"/>
      <c r="AF225" s="48"/>
      <c r="AG225" s="48"/>
      <c r="AH225" s="48"/>
      <c r="AI225" s="48"/>
      <c r="AJ225" s="48"/>
    </row>
    <row r="226" spans="1:36" ht="15.75" x14ac:dyDescent="0.25">
      <c r="A226" s="466" t="s">
        <v>458</v>
      </c>
      <c r="B226" s="468" t="s">
        <v>172</v>
      </c>
      <c r="C226" s="463"/>
      <c r="D226" s="463"/>
      <c r="E226" s="463" t="str">
        <f>plus&amp;1</f>
        <v>+1</v>
      </c>
      <c r="F226" s="463" t="str">
        <f>plus&amp;1</f>
        <v>+1</v>
      </c>
      <c r="G226" s="463" t="str">
        <f>plus&amp;1</f>
        <v>+1</v>
      </c>
      <c r="H226" s="463" t="str">
        <f>plus&amp;1</f>
        <v>+1</v>
      </c>
      <c r="I226" s="463" t="str">
        <f>plus&amp;2</f>
        <v>+2</v>
      </c>
      <c r="J226" s="463" t="str">
        <f>plus&amp;2</f>
        <v>+2</v>
      </c>
      <c r="K226" s="463" t="str">
        <f>plus&amp;2</f>
        <v>+2</v>
      </c>
      <c r="L226" s="463" t="str">
        <f>plus&amp;2</f>
        <v>+2</v>
      </c>
      <c r="M226" s="463" t="str">
        <f>plus&amp;2</f>
        <v>+2</v>
      </c>
      <c r="N226" s="463" t="str">
        <f>plus&amp;3</f>
        <v>+3</v>
      </c>
      <c r="O226" s="463" t="str">
        <f>plus&amp;3</f>
        <v>+3</v>
      </c>
      <c r="P226" s="463" t="str">
        <f>plus&amp;3</f>
        <v>+3</v>
      </c>
      <c r="Q226" s="463" t="str">
        <f>plus&amp;3</f>
        <v>+3</v>
      </c>
      <c r="AC226" s="48"/>
      <c r="AD226" s="48"/>
      <c r="AE226" s="48"/>
      <c r="AF226" s="48"/>
      <c r="AG226" s="48"/>
      <c r="AH226" s="48"/>
      <c r="AI226" s="48"/>
      <c r="AJ226" s="48"/>
    </row>
    <row r="227" spans="1:36" ht="15.75" x14ac:dyDescent="0.25">
      <c r="A227" s="466" t="s">
        <v>459</v>
      </c>
      <c r="B227" s="468"/>
      <c r="C227" s="463"/>
      <c r="D227" s="463"/>
      <c r="E227" s="463"/>
      <c r="F227" s="463"/>
      <c r="G227" s="463"/>
      <c r="H227" s="463"/>
      <c r="I227" s="463"/>
      <c r="J227" s="463"/>
      <c r="K227" s="463"/>
      <c r="L227" s="463"/>
      <c r="M227" s="463"/>
      <c r="N227" s="463"/>
      <c r="O227" s="463"/>
      <c r="P227" s="463"/>
      <c r="Q227" s="463"/>
      <c r="AC227" s="48"/>
      <c r="AD227" s="48"/>
      <c r="AE227" s="48"/>
      <c r="AF227" s="48"/>
      <c r="AG227" s="48"/>
      <c r="AH227" s="48"/>
      <c r="AI227" s="48"/>
      <c r="AJ227" s="48"/>
    </row>
    <row r="228" spans="1:36" ht="15.75" x14ac:dyDescent="0.25">
      <c r="A228" s="466" t="s">
        <v>460</v>
      </c>
      <c r="B228" s="468"/>
      <c r="C228" s="463"/>
      <c r="D228" s="463"/>
      <c r="E228" s="463"/>
      <c r="F228" s="463"/>
      <c r="G228" s="463"/>
      <c r="H228" s="463"/>
      <c r="I228" s="463"/>
      <c r="J228" s="463"/>
      <c r="K228" s="463"/>
      <c r="L228" s="463"/>
      <c r="M228" s="463"/>
      <c r="N228" s="463"/>
      <c r="O228" s="463"/>
      <c r="P228" s="463"/>
      <c r="Q228" s="463"/>
      <c r="AC228" s="48"/>
      <c r="AD228" s="48"/>
      <c r="AE228" s="48"/>
      <c r="AF228" s="48"/>
      <c r="AG228" s="48"/>
      <c r="AH228" s="48"/>
      <c r="AI228" s="48"/>
      <c r="AJ228" s="48"/>
    </row>
    <row r="229" spans="1:36" ht="15.75" x14ac:dyDescent="0.25">
      <c r="A229" s="466" t="s">
        <v>461</v>
      </c>
      <c r="B229" s="468" t="s">
        <v>172</v>
      </c>
      <c r="C229" s="463"/>
      <c r="D229" s="463"/>
      <c r="E229" s="463" t="str">
        <f>plus&amp;1</f>
        <v>+1</v>
      </c>
      <c r="F229" s="463" t="str">
        <f>plus&amp;1</f>
        <v>+1</v>
      </c>
      <c r="G229" s="463" t="str">
        <f>plus&amp;1</f>
        <v>+1</v>
      </c>
      <c r="H229" s="463" t="str">
        <f>plus&amp;2</f>
        <v>+2</v>
      </c>
      <c r="I229" s="463" t="str">
        <f>plus&amp;2</f>
        <v>+2</v>
      </c>
      <c r="J229" s="463" t="str">
        <f>plus&amp;2</f>
        <v>+2</v>
      </c>
      <c r="K229" s="463" t="str">
        <f>plus&amp;2</f>
        <v>+2</v>
      </c>
      <c r="L229" s="463" t="str">
        <f>plus&amp;3</f>
        <v>+3</v>
      </c>
      <c r="M229" s="463" t="str">
        <f>plus&amp;3</f>
        <v>+3</v>
      </c>
      <c r="N229" s="463" t="str">
        <f>plus&amp;3</f>
        <v>+3</v>
      </c>
      <c r="O229" s="463" t="str">
        <f>plus&amp;3</f>
        <v>+3</v>
      </c>
      <c r="P229" s="463" t="str">
        <f>plus&amp;4</f>
        <v>+4</v>
      </c>
      <c r="Q229" s="463" t="str">
        <f>plus&amp;4</f>
        <v>+4</v>
      </c>
      <c r="AC229" s="48"/>
      <c r="AD229" s="48"/>
      <c r="AE229" s="48"/>
      <c r="AF229" s="48"/>
      <c r="AG229" s="48"/>
      <c r="AH229" s="48"/>
      <c r="AI229" s="48"/>
      <c r="AJ229" s="48"/>
    </row>
    <row r="230" spans="1:36" ht="15.75" x14ac:dyDescent="0.25">
      <c r="A230" s="466" t="s">
        <v>462</v>
      </c>
      <c r="B230" s="468" t="s">
        <v>172</v>
      </c>
      <c r="C230" s="463"/>
      <c r="D230" s="463"/>
      <c r="E230" s="463"/>
      <c r="F230" s="463"/>
      <c r="G230" s="463" t="str">
        <f>plus&amp;1</f>
        <v>+1</v>
      </c>
      <c r="H230" s="463" t="str">
        <f>plus&amp;1</f>
        <v>+1</v>
      </c>
      <c r="I230" s="463" t="str">
        <f>plus&amp;1</f>
        <v>+1</v>
      </c>
      <c r="J230" s="463" t="str">
        <f>plus&amp;1</f>
        <v>+1</v>
      </c>
      <c r="K230" s="463" t="str">
        <f>plus&amp;1</f>
        <v>+1</v>
      </c>
      <c r="L230" s="463" t="str">
        <f>plus&amp;2</f>
        <v>+2</v>
      </c>
      <c r="M230" s="463" t="str">
        <f>plus&amp;2</f>
        <v>+2</v>
      </c>
      <c r="N230" s="463" t="str">
        <f>plus&amp;2</f>
        <v>+2</v>
      </c>
      <c r="O230" s="463" t="str">
        <f>plus&amp;2</f>
        <v>+2</v>
      </c>
      <c r="P230" s="463" t="str">
        <f>plus&amp;2</f>
        <v>+2</v>
      </c>
      <c r="Q230" s="463" t="str">
        <f>plus&amp;3</f>
        <v>+3</v>
      </c>
      <c r="AC230" s="48"/>
      <c r="AD230" s="48"/>
      <c r="AE230" s="48"/>
      <c r="AF230" s="48"/>
      <c r="AG230" s="48"/>
      <c r="AH230" s="48"/>
      <c r="AI230" s="48"/>
      <c r="AJ230" s="48"/>
    </row>
    <row r="231" spans="1:36" ht="15.75" x14ac:dyDescent="0.25">
      <c r="A231" s="466" t="s">
        <v>463</v>
      </c>
      <c r="B231" s="468" t="s">
        <v>172</v>
      </c>
      <c r="C231" s="463"/>
      <c r="D231" s="463"/>
      <c r="E231" s="463"/>
      <c r="F231" s="463" t="str">
        <f>plus&amp;1</f>
        <v>+1</v>
      </c>
      <c r="G231" s="463" t="str">
        <f>plus&amp;1</f>
        <v>+1</v>
      </c>
      <c r="H231" s="463" t="str">
        <f>plus&amp;1</f>
        <v>+1</v>
      </c>
      <c r="I231" s="463" t="str">
        <f>plus&amp;1</f>
        <v>+1</v>
      </c>
      <c r="J231" s="463" t="str">
        <f>plus&amp;2</f>
        <v>+2</v>
      </c>
      <c r="K231" s="463" t="str">
        <f>plus&amp;2</f>
        <v>+2</v>
      </c>
      <c r="L231" s="463" t="str">
        <f>plus&amp;2</f>
        <v>+2</v>
      </c>
      <c r="M231" s="463" t="str">
        <f>plus&amp;2</f>
        <v>+2</v>
      </c>
      <c r="N231" s="463" t="str">
        <f>plus&amp;3</f>
        <v>+3</v>
      </c>
      <c r="O231" s="463" t="str">
        <f>plus&amp;3</f>
        <v>+3</v>
      </c>
      <c r="P231" s="463" t="str">
        <f>plus&amp;3</f>
        <v>+3</v>
      </c>
      <c r="Q231" s="463" t="str">
        <f>plus&amp;3</f>
        <v>+3</v>
      </c>
      <c r="AC231" s="48"/>
      <c r="AD231" s="48"/>
      <c r="AE231" s="48"/>
      <c r="AF231" s="48"/>
      <c r="AG231" s="48"/>
      <c r="AH231" s="48"/>
      <c r="AI231" s="48"/>
      <c r="AJ231" s="48"/>
    </row>
    <row r="232" spans="1:36" ht="15.75" x14ac:dyDescent="0.25">
      <c r="A232" s="466" t="s">
        <v>464</v>
      </c>
      <c r="B232" s="468"/>
      <c r="C232" s="463"/>
      <c r="D232" s="463"/>
      <c r="E232" s="463"/>
      <c r="F232" s="463"/>
      <c r="G232" s="463"/>
      <c r="H232" s="463"/>
      <c r="I232" s="463"/>
      <c r="J232" s="463"/>
      <c r="K232" s="463"/>
      <c r="L232" s="463"/>
      <c r="M232" s="463"/>
      <c r="N232" s="463"/>
      <c r="O232" s="463"/>
      <c r="P232" s="463"/>
      <c r="Q232" s="463"/>
      <c r="AC232" s="48"/>
      <c r="AD232" s="48"/>
      <c r="AE232" s="48"/>
      <c r="AF232" s="48"/>
      <c r="AG232" s="48"/>
      <c r="AH232" s="48"/>
      <c r="AI232" s="48"/>
      <c r="AJ232" s="48"/>
    </row>
    <row r="233" spans="1:36" ht="15.75" x14ac:dyDescent="0.25">
      <c r="A233" s="466" t="s">
        <v>656</v>
      </c>
      <c r="B233" s="468"/>
      <c r="C233" s="463"/>
      <c r="D233" s="463"/>
      <c r="E233" s="463"/>
      <c r="F233" s="463"/>
      <c r="G233" s="463"/>
      <c r="H233" s="463"/>
      <c r="I233" s="463"/>
      <c r="J233" s="463"/>
      <c r="K233" s="463"/>
      <c r="L233" s="463"/>
      <c r="M233" s="463"/>
      <c r="N233" s="463"/>
      <c r="O233" s="463"/>
      <c r="P233" s="463"/>
      <c r="Q233" s="463"/>
      <c r="AC233" s="48"/>
      <c r="AD233" s="48"/>
      <c r="AE233" s="48"/>
      <c r="AF233" s="48"/>
      <c r="AG233" s="48"/>
      <c r="AH233" s="48"/>
      <c r="AI233" s="48"/>
      <c r="AJ233" s="48"/>
    </row>
    <row r="234" spans="1:36" ht="15.75" x14ac:dyDescent="0.25">
      <c r="A234" s="466" t="s">
        <v>465</v>
      </c>
      <c r="B234" s="468" t="s">
        <v>240</v>
      </c>
      <c r="C234" s="463"/>
      <c r="D234" s="463" t="str">
        <f>plus&amp;1</f>
        <v>+1</v>
      </c>
      <c r="E234" s="463" t="str">
        <f>plus&amp;1</f>
        <v>+1</v>
      </c>
      <c r="F234" s="463" t="str">
        <f>plus&amp;2</f>
        <v>+2</v>
      </c>
      <c r="G234" s="463" t="str">
        <f>plus&amp;2</f>
        <v>+2</v>
      </c>
      <c r="H234" s="463" t="str">
        <f>plus&amp;2</f>
        <v>+2</v>
      </c>
      <c r="I234" s="463" t="str">
        <f>plus&amp;3</f>
        <v>+3</v>
      </c>
      <c r="J234" s="463" t="str">
        <f>plus&amp;3</f>
        <v>+3</v>
      </c>
      <c r="K234" s="463" t="str">
        <f>plus&amp;3</f>
        <v>+3</v>
      </c>
      <c r="L234" s="463" t="str">
        <f>plus&amp;4</f>
        <v>+4</v>
      </c>
      <c r="M234" s="463" t="str">
        <f>plus&amp;4</f>
        <v>+4</v>
      </c>
      <c r="N234" s="463" t="str">
        <f>plus&amp;4</f>
        <v>+4</v>
      </c>
      <c r="O234" s="463" t="str">
        <f>plus&amp;5</f>
        <v>+5</v>
      </c>
      <c r="P234" s="463" t="str">
        <f>plus&amp;5</f>
        <v>+5</v>
      </c>
      <c r="Q234" s="463" t="str">
        <f>plus&amp;5</f>
        <v>+5</v>
      </c>
      <c r="AC234" s="48"/>
      <c r="AD234" s="48"/>
      <c r="AE234" s="48"/>
      <c r="AF234" s="48"/>
      <c r="AG234" s="48"/>
      <c r="AH234" s="48"/>
      <c r="AI234" s="48"/>
      <c r="AJ234" s="48"/>
    </row>
    <row r="235" spans="1:36" ht="15.75" x14ac:dyDescent="0.25">
      <c r="A235" s="467" t="str">
        <f>IF(wp_custom1="", "", wp_custom1)</f>
        <v>W.P. #1</v>
      </c>
      <c r="B235" s="468" t="str">
        <f>IF(C271="None", "", C271)</f>
        <v/>
      </c>
      <c r="C235" s="463" t="str">
        <f>IF($B235="", "", plus&amp;VLOOKUP($B235, vl_wp1, 2, FALSE))</f>
        <v/>
      </c>
      <c r="D235" s="463" t="str">
        <f>IF($B$235="", "", plus&amp;VLOOKUP($B$235, vl_wp1, 3, FALSE))</f>
        <v/>
      </c>
      <c r="E235" s="463" t="str">
        <f>IF($B$235="", "", plus&amp;VLOOKUP($B$235, vl_wp1, 4, FALSE))</f>
        <v/>
      </c>
      <c r="F235" s="463" t="str">
        <f>IF($B$235="", "", plus&amp;VLOOKUP($B$235, vl_wp1, 5, FALSE))</f>
        <v/>
      </c>
      <c r="G235" s="463" t="str">
        <f>IF($B$235="", "", plus&amp;VLOOKUP($B$235, vl_wp1, 6, FALSE))</f>
        <v/>
      </c>
      <c r="H235" s="463" t="str">
        <f>IF($B$235="", "", plus&amp;VLOOKUP($B$235, vl_wp1, 7, FALSE))</f>
        <v/>
      </c>
      <c r="I235" s="463" t="str">
        <f>IF($B$235="", "", plus&amp;VLOOKUP($B$235, vl_wp1, 8, FALSE))</f>
        <v/>
      </c>
      <c r="J235" s="463" t="str">
        <f>IF($B$235="", "", plus&amp;VLOOKUP($B$235, vl_wp1, 9, FALSE))</f>
        <v/>
      </c>
      <c r="K235" s="463" t="str">
        <f>IF($B$235="", "", plus&amp;VLOOKUP($B$235, vl_wp1, 10, FALSE))</f>
        <v/>
      </c>
      <c r="L235" s="463" t="str">
        <f>IF($B$235="", "", plus&amp;VLOOKUP($B$235, vl_wp1, 11, FALSE))</f>
        <v/>
      </c>
      <c r="M235" s="463" t="str">
        <f>IF($B$235="", "", plus&amp;VLOOKUP($B$235, vl_wp1, 12, FALSE))</f>
        <v/>
      </c>
      <c r="N235" s="463" t="str">
        <f>IF($B$235="", "", plus&amp;VLOOKUP($B$235, vl_wp1, 13, FALSE))</f>
        <v/>
      </c>
      <c r="O235" s="463" t="str">
        <f>IF($B$235="", "", plus&amp;VLOOKUP($B$235, vl_wp1, 14, FALSE))</f>
        <v/>
      </c>
      <c r="P235" s="463" t="str">
        <f>IF($B$235="", "", plus&amp;VLOOKUP($B$235, vl_wp1, 15, FALSE))</f>
        <v/>
      </c>
      <c r="Q235" s="463" t="str">
        <f>IF($B$235="", "", plus&amp;VLOOKUP($B$235, vl_wp1, 16, FALSE))</f>
        <v/>
      </c>
      <c r="AC235" s="48"/>
      <c r="AD235" s="48"/>
      <c r="AE235" s="48"/>
      <c r="AF235" s="48"/>
      <c r="AG235" s="48"/>
      <c r="AH235" s="48"/>
      <c r="AI235" s="48"/>
      <c r="AJ235" s="48"/>
    </row>
    <row r="236" spans="1:36" ht="15.75" x14ac:dyDescent="0.25">
      <c r="A236" s="467" t="str">
        <f>IF(wp_custom2="", "", wp_custom2)</f>
        <v>W.P. #2</v>
      </c>
      <c r="B236" s="468" t="str">
        <f t="shared" ref="B236:B237" si="2">IF(C272="None", "", C272)</f>
        <v/>
      </c>
      <c r="C236" s="463" t="str">
        <f>IF($B$236="", "", plus&amp;VLOOKUP($B$236, vl_wp2, 2, FALSE))</f>
        <v/>
      </c>
      <c r="D236" s="463" t="str">
        <f>IF($B$236="", "", plus&amp;VLOOKUP($B$236, vl_wp2, 3, FALSE))</f>
        <v/>
      </c>
      <c r="E236" s="463" t="str">
        <f>IF($B$236="", "", plus&amp;VLOOKUP($B$236, vl_wp2, 4, FALSE))</f>
        <v/>
      </c>
      <c r="F236" s="463" t="str">
        <f>IF($B$236="", "", plus&amp;VLOOKUP($B$236, vl_wp2, 5, FALSE))</f>
        <v/>
      </c>
      <c r="G236" s="463" t="str">
        <f>IF($B$236="", "", plus&amp;VLOOKUP($B$236, vl_wp2, 6, FALSE))</f>
        <v/>
      </c>
      <c r="H236" s="463" t="str">
        <f>IF($B$236="", "", plus&amp;VLOOKUP($B$236, vl_wp2, 7, FALSE))</f>
        <v/>
      </c>
      <c r="I236" s="463" t="str">
        <f>IF($B$236="", "", plus&amp;VLOOKUP($B$236, vl_wp2, 8, FALSE))</f>
        <v/>
      </c>
      <c r="J236" s="463" t="str">
        <f>IF($B$236="", "", plus&amp;VLOOKUP($B$236, vl_wp2, 9, FALSE))</f>
        <v/>
      </c>
      <c r="K236" s="463" t="str">
        <f>IF($B$236="", "", plus&amp;VLOOKUP($B$236, vl_wp2, 10, FALSE))</f>
        <v/>
      </c>
      <c r="L236" s="463" t="str">
        <f>IF($B$236="", "", plus&amp;VLOOKUP($B$236, vl_wp2, 11, FALSE))</f>
        <v/>
      </c>
      <c r="M236" s="463" t="str">
        <f>IF($B$236="", "", plus&amp;VLOOKUP($B$236, vl_wp2, 12, FALSE))</f>
        <v/>
      </c>
      <c r="N236" s="463" t="str">
        <f>IF($B$236="", "", plus&amp;VLOOKUP($B$236, vl_wp2, 13, FALSE))</f>
        <v/>
      </c>
      <c r="O236" s="463" t="str">
        <f>IF($B$236="", "", plus&amp;VLOOKUP($B$236, vl_wp2, 14, FALSE))</f>
        <v/>
      </c>
      <c r="P236" s="463" t="str">
        <f>IF($B$236="", "", plus&amp;VLOOKUP($B$236, vl_wp2, 15, FALSE))</f>
        <v/>
      </c>
      <c r="Q236" s="463" t="str">
        <f>IF($B$236="", "", plus&amp;VLOOKUP($B$236, vl_wp2, 16, FALSE))</f>
        <v/>
      </c>
      <c r="AC236" s="48"/>
      <c r="AD236" s="48"/>
      <c r="AE236" s="48"/>
      <c r="AF236" s="48"/>
      <c r="AG236" s="48"/>
      <c r="AH236" s="48"/>
      <c r="AI236" s="48"/>
      <c r="AJ236" s="48"/>
    </row>
    <row r="237" spans="1:36" ht="15.75" x14ac:dyDescent="0.25">
      <c r="A237" s="467" t="str">
        <f>IF(wp_custom3="", "", wp_custom3)</f>
        <v>W.P. #3</v>
      </c>
      <c r="B237" s="468" t="str">
        <f t="shared" si="2"/>
        <v/>
      </c>
      <c r="C237" s="463" t="str">
        <f>IF($B$237="", "", plus&amp;VLOOKUP($B$237, vl_wp3, 2, FALSE))</f>
        <v/>
      </c>
      <c r="D237" s="463" t="str">
        <f>IF($B$237="", "", plus&amp;VLOOKUP($B$237, vl_wp3, 3, FALSE))</f>
        <v/>
      </c>
      <c r="E237" s="463" t="str">
        <f>IF($B$237="", "", plus&amp;VLOOKUP($B$237, vl_wp3, 4, FALSE))</f>
        <v/>
      </c>
      <c r="F237" s="463" t="str">
        <f>IF($B$237="", "", plus&amp;VLOOKUP($B$237, vl_wp3, 5, FALSE))</f>
        <v/>
      </c>
      <c r="G237" s="463" t="str">
        <f>IF($B$237="", "", plus&amp;VLOOKUP($B$237, vl_wp3, 6, FALSE))</f>
        <v/>
      </c>
      <c r="H237" s="463" t="str">
        <f>IF($B$237="", "", plus&amp;VLOOKUP($B$237, vl_wp3, 7, FALSE))</f>
        <v/>
      </c>
      <c r="I237" s="463" t="str">
        <f>IF($B$237="", "", plus&amp;VLOOKUP($B$237, vl_wp3, 8, FALSE))</f>
        <v/>
      </c>
      <c r="J237" s="463" t="str">
        <f>IF($B$237="", "", plus&amp;VLOOKUP($B$237, vl_wp3, 9, FALSE))</f>
        <v/>
      </c>
      <c r="K237" s="463" t="str">
        <f>IF($B$237="", "", plus&amp;VLOOKUP($B$237, vl_wp3, 10, FALSE))</f>
        <v/>
      </c>
      <c r="L237" s="463" t="str">
        <f>IF($B$237="", "", plus&amp;VLOOKUP($B$237, vl_wp3, 11, FALSE))</f>
        <v/>
      </c>
      <c r="M237" s="463" t="str">
        <f>IF($B$237="", "", plus&amp;VLOOKUP($B$237, vl_wp3, 12, FALSE))</f>
        <v/>
      </c>
      <c r="N237" s="463" t="str">
        <f>IF($B$237="", "", plus&amp;VLOOKUP($B$237, vl_wp3, 13, FALSE))</f>
        <v/>
      </c>
      <c r="O237" s="463" t="str">
        <f>IF($B$237="", "", plus&amp;VLOOKUP($B$237, vl_wp3, 14, FALSE))</f>
        <v/>
      </c>
      <c r="P237" s="463" t="str">
        <f>IF($B$237="", "", plus&amp;VLOOKUP($B$237, vl_wp3, 15, FALSE))</f>
        <v/>
      </c>
      <c r="Q237" s="463" t="str">
        <f>IF($B$237="", "", plus&amp;VLOOKUP($B$237, vl_wp3, 16, FALSE))</f>
        <v/>
      </c>
      <c r="AC237" s="48"/>
      <c r="AD237" s="48"/>
      <c r="AE237" s="48"/>
      <c r="AF237" s="48"/>
      <c r="AG237" s="48"/>
      <c r="AH237" s="48"/>
      <c r="AI237" s="48"/>
      <c r="AJ237" s="48"/>
    </row>
    <row r="238" spans="1:36" x14ac:dyDescent="0.25">
      <c r="A238" s="383"/>
      <c r="B238" s="383"/>
      <c r="C238" s="383"/>
      <c r="D238" s="383"/>
      <c r="E238" s="383"/>
      <c r="F238" s="383"/>
      <c r="G238" s="383"/>
      <c r="H238" s="383"/>
      <c r="I238" s="383"/>
      <c r="J238" s="383"/>
      <c r="K238" s="383"/>
      <c r="L238" s="383"/>
      <c r="M238" s="383"/>
      <c r="N238" s="383"/>
      <c r="O238" s="383"/>
      <c r="P238" s="383"/>
      <c r="Q238" s="383"/>
      <c r="AB238" s="48"/>
      <c r="AC238" s="48"/>
      <c r="AD238" s="48"/>
      <c r="AE238" s="48"/>
      <c r="AF238" s="48"/>
      <c r="AG238" s="48"/>
      <c r="AH238" s="48"/>
      <c r="AI238" s="48"/>
    </row>
    <row r="239" spans="1:36" x14ac:dyDescent="0.25">
      <c r="A239" s="1460" t="s">
        <v>685</v>
      </c>
      <c r="B239" s="1460"/>
      <c r="C239" s="1460"/>
      <c r="D239" s="1460"/>
      <c r="E239" s="1460"/>
      <c r="F239" s="1460"/>
      <c r="G239" s="1460"/>
      <c r="H239" s="1460"/>
      <c r="I239" s="1460"/>
      <c r="J239" s="1460"/>
      <c r="K239" s="1460"/>
      <c r="L239" s="1460"/>
      <c r="M239" s="1460"/>
      <c r="N239" s="1460"/>
      <c r="O239" s="1460"/>
      <c r="P239" s="1460"/>
      <c r="Q239" s="1460"/>
      <c r="AB239" s="48"/>
      <c r="AC239" s="48"/>
      <c r="AD239" s="48"/>
      <c r="AE239" s="48"/>
      <c r="AF239" s="48"/>
      <c r="AG239" s="48"/>
      <c r="AH239" s="48"/>
      <c r="AI239" s="48"/>
    </row>
    <row r="240" spans="1:36" x14ac:dyDescent="0.25">
      <c r="A240" s="332"/>
      <c r="B240" s="465" t="s">
        <v>662</v>
      </c>
      <c r="C240" s="465">
        <v>1</v>
      </c>
      <c r="D240" s="465">
        <v>2</v>
      </c>
      <c r="E240" s="465">
        <v>3</v>
      </c>
      <c r="F240" s="465">
        <v>4</v>
      </c>
      <c r="G240" s="465">
        <v>5</v>
      </c>
      <c r="H240" s="465">
        <v>6</v>
      </c>
      <c r="I240" s="465">
        <v>7</v>
      </c>
      <c r="J240" s="465">
        <v>8</v>
      </c>
      <c r="K240" s="465">
        <v>9</v>
      </c>
      <c r="L240" s="465">
        <v>10</v>
      </c>
      <c r="M240" s="465">
        <v>11</v>
      </c>
      <c r="N240" s="465">
        <v>12</v>
      </c>
      <c r="O240" s="465">
        <v>13</v>
      </c>
      <c r="P240" s="465">
        <v>14</v>
      </c>
      <c r="Q240" s="465">
        <v>15</v>
      </c>
      <c r="AB240" s="48"/>
      <c r="AC240" s="48"/>
      <c r="AD240" s="48"/>
      <c r="AE240" s="48"/>
      <c r="AF240" s="48"/>
      <c r="AG240" s="48"/>
      <c r="AH240" s="48"/>
      <c r="AI240" s="48"/>
    </row>
    <row r="241" spans="1:35" ht="15.75" x14ac:dyDescent="0.25">
      <c r="A241" s="466" t="s">
        <v>444</v>
      </c>
      <c r="B241" s="468" t="s">
        <v>674</v>
      </c>
      <c r="C241" s="332">
        <v>2</v>
      </c>
      <c r="D241" s="332">
        <v>3</v>
      </c>
      <c r="E241" s="332">
        <v>4</v>
      </c>
      <c r="F241" s="332">
        <f>IF(occ="Long Bowman", 5, 4)</f>
        <v>4</v>
      </c>
      <c r="G241" s="332">
        <f>IF(occ="Long Bowman", 6, 5)</f>
        <v>5</v>
      </c>
      <c r="H241" s="332">
        <f>IF(occ="Long Bowman", 7, 5)</f>
        <v>5</v>
      </c>
      <c r="I241" s="332">
        <f>IF(occ="Long Bowman", 7, 6)</f>
        <v>6</v>
      </c>
      <c r="J241" s="332">
        <f>IF(occ="Long Bowman", 8, 6)</f>
        <v>6</v>
      </c>
      <c r="K241" s="332">
        <f>IF(occ="Long Bowman", 8, 7)</f>
        <v>7</v>
      </c>
      <c r="L241" s="332">
        <f>IF(occ="Long Bowman", 9, 7)</f>
        <v>7</v>
      </c>
      <c r="M241" s="332">
        <f>IF(occ="Long Bowman", 9, 7)</f>
        <v>7</v>
      </c>
      <c r="N241" s="332">
        <f>IF(occ="Long Bowman", 10, 8)</f>
        <v>8</v>
      </c>
      <c r="O241" s="332">
        <f>IF(occ="Long Bowman", 10, 8)</f>
        <v>8</v>
      </c>
      <c r="P241" s="332">
        <f>IF(occ="Long Bowman", 11, 8)</f>
        <v>8</v>
      </c>
      <c r="Q241" s="332">
        <f>IF(occ="Long Bowman", 11, 8)</f>
        <v>8</v>
      </c>
      <c r="AB241" s="48"/>
      <c r="AC241" s="48"/>
      <c r="AD241" s="48"/>
      <c r="AE241" s="48"/>
      <c r="AF241" s="48"/>
      <c r="AG241" s="48"/>
      <c r="AH241" s="48"/>
      <c r="AI241" s="48"/>
    </row>
    <row r="242" spans="1:35" ht="15.75" x14ac:dyDescent="0.25">
      <c r="A242" s="466" t="s">
        <v>446</v>
      </c>
      <c r="B242" s="468" t="s">
        <v>85</v>
      </c>
      <c r="C242" s="463"/>
      <c r="D242" s="469" t="str">
        <f t="shared" ref="D242:Q242" si="3">plus&amp;"1D6"</f>
        <v>+1D6</v>
      </c>
      <c r="E242" s="469" t="str">
        <f t="shared" si="3"/>
        <v>+1D6</v>
      </c>
      <c r="F242" s="469" t="str">
        <f t="shared" si="3"/>
        <v>+1D6</v>
      </c>
      <c r="G242" s="469" t="str">
        <f t="shared" si="3"/>
        <v>+1D6</v>
      </c>
      <c r="H242" s="469" t="str">
        <f t="shared" si="3"/>
        <v>+1D6</v>
      </c>
      <c r="I242" s="469" t="str">
        <f t="shared" si="3"/>
        <v>+1D6</v>
      </c>
      <c r="J242" s="469" t="str">
        <f t="shared" si="3"/>
        <v>+1D6</v>
      </c>
      <c r="K242" s="469" t="str">
        <f t="shared" si="3"/>
        <v>+1D6</v>
      </c>
      <c r="L242" s="469" t="str">
        <f t="shared" si="3"/>
        <v>+1D6</v>
      </c>
      <c r="M242" s="469" t="str">
        <f t="shared" si="3"/>
        <v>+1D6</v>
      </c>
      <c r="N242" s="469" t="str">
        <f t="shared" si="3"/>
        <v>+1D6</v>
      </c>
      <c r="O242" s="469" t="str">
        <f t="shared" si="3"/>
        <v>+1D6</v>
      </c>
      <c r="P242" s="469" t="str">
        <f t="shared" si="3"/>
        <v>+1D6</v>
      </c>
      <c r="Q242" s="469" t="str">
        <f t="shared" si="3"/>
        <v>+1D6</v>
      </c>
      <c r="AB242" s="48"/>
      <c r="AC242" s="48"/>
      <c r="AD242" s="48"/>
      <c r="AE242" s="48"/>
      <c r="AF242" s="48"/>
      <c r="AG242" s="48"/>
      <c r="AH242" s="48"/>
      <c r="AI242" s="48"/>
    </row>
    <row r="243" spans="1:35" ht="15.75" x14ac:dyDescent="0.25">
      <c r="A243" s="466" t="s">
        <v>447</v>
      </c>
      <c r="B243" s="468"/>
      <c r="C243" s="463"/>
      <c r="D243" s="463"/>
      <c r="E243" s="463"/>
      <c r="F243" s="463"/>
      <c r="G243" s="463"/>
      <c r="H243" s="463"/>
      <c r="I243" s="463"/>
      <c r="J243" s="463"/>
      <c r="K243" s="463"/>
      <c r="L243" s="463"/>
      <c r="M243" s="463"/>
      <c r="N243" s="463"/>
      <c r="O243" s="463"/>
      <c r="P243" s="463"/>
      <c r="Q243" s="463"/>
      <c r="AB243" s="48"/>
      <c r="AC243" s="48"/>
      <c r="AD243" s="48"/>
      <c r="AE243" s="48"/>
      <c r="AF243" s="48"/>
      <c r="AG243" s="48"/>
      <c r="AH243" s="48"/>
      <c r="AI243" s="48"/>
    </row>
    <row r="244" spans="1:35" ht="15.75" x14ac:dyDescent="0.25">
      <c r="A244" s="466" t="s">
        <v>448</v>
      </c>
      <c r="B244" s="468" t="s">
        <v>677</v>
      </c>
      <c r="C244" s="463"/>
      <c r="D244" s="463" t="str">
        <f>plus&amp;1</f>
        <v>+1</v>
      </c>
      <c r="E244" s="463" t="str">
        <f>plus&amp;1</f>
        <v>+1</v>
      </c>
      <c r="F244" s="463" t="str">
        <f>plus&amp;1</f>
        <v>+1</v>
      </c>
      <c r="G244" s="463" t="str">
        <f>plus&amp;2</f>
        <v>+2</v>
      </c>
      <c r="H244" s="463" t="str">
        <f>plus&amp;2</f>
        <v>+2</v>
      </c>
      <c r="I244" s="463" t="str">
        <f>plus&amp;2</f>
        <v>+2</v>
      </c>
      <c r="J244" s="463" t="str">
        <f>plus&amp;2</f>
        <v>+2</v>
      </c>
      <c r="K244" s="463" t="str">
        <f>plus&amp;2</f>
        <v>+2</v>
      </c>
      <c r="L244" s="463" t="str">
        <f>plus&amp;3</f>
        <v>+3</v>
      </c>
      <c r="M244" s="463" t="str">
        <f>plus&amp;3</f>
        <v>+3</v>
      </c>
      <c r="N244" s="463" t="str">
        <f>plus&amp;3</f>
        <v>+3</v>
      </c>
      <c r="O244" s="463" t="str">
        <f>plus&amp;3</f>
        <v>+3</v>
      </c>
      <c r="P244" s="463" t="str">
        <f>plus&amp;3</f>
        <v>+3</v>
      </c>
      <c r="Q244" s="463" t="str">
        <f>plus&amp;4</f>
        <v>+4</v>
      </c>
      <c r="AB244" s="48"/>
      <c r="AC244" s="48"/>
      <c r="AD244" s="48"/>
      <c r="AE244" s="48"/>
      <c r="AF244" s="48"/>
      <c r="AG244" s="48"/>
      <c r="AH244" s="48"/>
      <c r="AI244" s="48"/>
    </row>
    <row r="245" spans="1:35" ht="15.75" x14ac:dyDescent="0.25">
      <c r="A245" s="466" t="s">
        <v>449</v>
      </c>
      <c r="B245" s="468"/>
      <c r="C245" s="463"/>
      <c r="D245" s="463"/>
      <c r="E245" s="463"/>
      <c r="F245" s="463"/>
      <c r="G245" s="463"/>
      <c r="H245" s="463"/>
      <c r="I245" s="463"/>
      <c r="J245" s="463"/>
      <c r="K245" s="463"/>
      <c r="L245" s="463"/>
      <c r="M245" s="463"/>
      <c r="N245" s="463"/>
      <c r="O245" s="463"/>
      <c r="P245" s="463"/>
      <c r="Q245" s="463"/>
      <c r="AB245" s="48"/>
      <c r="AC245" s="48"/>
      <c r="AD245" s="48"/>
      <c r="AE245" s="48"/>
      <c r="AF245" s="48"/>
      <c r="AG245" s="48"/>
      <c r="AH245" s="48"/>
      <c r="AI245" s="48"/>
    </row>
    <row r="246" spans="1:35" ht="15.75" x14ac:dyDescent="0.25">
      <c r="A246" s="466" t="s">
        <v>450</v>
      </c>
      <c r="B246" s="468" t="s">
        <v>172</v>
      </c>
      <c r="C246" s="463"/>
      <c r="D246" s="463"/>
      <c r="E246" s="463"/>
      <c r="F246" s="463" t="str">
        <f t="shared" ref="F246:K246" si="4">plus&amp;1</f>
        <v>+1</v>
      </c>
      <c r="G246" s="463" t="str">
        <f t="shared" si="4"/>
        <v>+1</v>
      </c>
      <c r="H246" s="463" t="str">
        <f t="shared" si="4"/>
        <v>+1</v>
      </c>
      <c r="I246" s="463" t="str">
        <f t="shared" si="4"/>
        <v>+1</v>
      </c>
      <c r="J246" s="463" t="str">
        <f t="shared" si="4"/>
        <v>+1</v>
      </c>
      <c r="K246" s="463" t="str">
        <f t="shared" si="4"/>
        <v>+1</v>
      </c>
      <c r="L246" s="463" t="str">
        <f>plus&amp;2</f>
        <v>+2</v>
      </c>
      <c r="M246" s="463" t="str">
        <f>plus&amp;2</f>
        <v>+2</v>
      </c>
      <c r="N246" s="463" t="str">
        <f>plus&amp;2</f>
        <v>+2</v>
      </c>
      <c r="O246" s="463" t="str">
        <f>plus&amp;2</f>
        <v>+2</v>
      </c>
      <c r="P246" s="463" t="str">
        <f>plus&amp;2</f>
        <v>+2</v>
      </c>
      <c r="Q246" s="463" t="str">
        <f>plus&amp;3</f>
        <v>+3</v>
      </c>
      <c r="AB246" s="48"/>
      <c r="AC246" s="48"/>
      <c r="AD246" s="48"/>
      <c r="AE246" s="48"/>
      <c r="AF246" s="48"/>
      <c r="AG246" s="48"/>
      <c r="AH246" s="48"/>
      <c r="AI246" s="48"/>
    </row>
    <row r="247" spans="1:35" ht="15.75" x14ac:dyDescent="0.25">
      <c r="A247" s="466" t="s">
        <v>451</v>
      </c>
      <c r="B247" s="468" t="s">
        <v>686</v>
      </c>
      <c r="C247" s="463" t="str">
        <f t="shared" ref="C247:Q247" si="5">plus&amp;5&amp;percent</f>
        <v>+5%</v>
      </c>
      <c r="D247" s="463" t="str">
        <f t="shared" si="5"/>
        <v>+5%</v>
      </c>
      <c r="E247" s="463" t="str">
        <f t="shared" si="5"/>
        <v>+5%</v>
      </c>
      <c r="F247" s="463" t="str">
        <f t="shared" si="5"/>
        <v>+5%</v>
      </c>
      <c r="G247" s="463" t="str">
        <f t="shared" si="5"/>
        <v>+5%</v>
      </c>
      <c r="H247" s="463" t="str">
        <f t="shared" si="5"/>
        <v>+5%</v>
      </c>
      <c r="I247" s="463" t="str">
        <f t="shared" si="5"/>
        <v>+5%</v>
      </c>
      <c r="J247" s="463" t="str">
        <f t="shared" si="5"/>
        <v>+5%</v>
      </c>
      <c r="K247" s="463" t="str">
        <f t="shared" si="5"/>
        <v>+5%</v>
      </c>
      <c r="L247" s="463" t="str">
        <f t="shared" si="5"/>
        <v>+5%</v>
      </c>
      <c r="M247" s="463" t="str">
        <f t="shared" si="5"/>
        <v>+5%</v>
      </c>
      <c r="N247" s="463" t="str">
        <f t="shared" si="5"/>
        <v>+5%</v>
      </c>
      <c r="O247" s="463" t="str">
        <f t="shared" si="5"/>
        <v>+5%</v>
      </c>
      <c r="P247" s="463" t="str">
        <f t="shared" si="5"/>
        <v>+5%</v>
      </c>
      <c r="Q247" s="463" t="str">
        <f t="shared" si="5"/>
        <v>+5%</v>
      </c>
      <c r="AB247" s="48"/>
      <c r="AC247" s="48"/>
      <c r="AD247" s="48"/>
      <c r="AE247" s="48"/>
      <c r="AF247" s="48"/>
      <c r="AG247" s="48"/>
      <c r="AH247" s="48"/>
      <c r="AI247" s="48"/>
    </row>
    <row r="248" spans="1:35" ht="15.75" x14ac:dyDescent="0.25">
      <c r="A248" s="466" t="s">
        <v>452</v>
      </c>
      <c r="B248" s="468"/>
      <c r="C248" s="463"/>
      <c r="D248" s="463"/>
      <c r="E248" s="463"/>
      <c r="F248" s="463"/>
      <c r="G248" s="463"/>
      <c r="H248" s="463"/>
      <c r="I248" s="463"/>
      <c r="J248" s="463"/>
      <c r="K248" s="463"/>
      <c r="L248" s="463"/>
      <c r="M248" s="463"/>
      <c r="N248" s="463"/>
      <c r="O248" s="463"/>
      <c r="P248" s="463"/>
      <c r="Q248" s="463"/>
      <c r="AB248" s="48"/>
      <c r="AC248" s="48"/>
      <c r="AD248" s="48"/>
      <c r="AE248" s="48"/>
      <c r="AF248" s="48"/>
      <c r="AG248" s="48"/>
      <c r="AH248" s="48"/>
      <c r="AI248" s="48"/>
    </row>
    <row r="249" spans="1:35" ht="15.75" x14ac:dyDescent="0.25">
      <c r="A249" s="466" t="s">
        <v>657</v>
      </c>
      <c r="B249" s="468"/>
      <c r="C249" s="463"/>
      <c r="D249" s="463"/>
      <c r="E249" s="463"/>
      <c r="F249" s="463"/>
      <c r="G249" s="463"/>
      <c r="H249" s="463"/>
      <c r="I249" s="463"/>
      <c r="J249" s="463"/>
      <c r="K249" s="463"/>
      <c r="L249" s="463"/>
      <c r="M249" s="463"/>
      <c r="N249" s="463"/>
      <c r="O249" s="463"/>
      <c r="P249" s="463"/>
      <c r="Q249" s="463"/>
      <c r="AB249" s="48"/>
      <c r="AC249" s="48"/>
      <c r="AD249" s="48"/>
      <c r="AE249" s="48"/>
      <c r="AF249" s="48"/>
      <c r="AG249" s="48"/>
      <c r="AH249" s="48"/>
      <c r="AI249" s="48"/>
    </row>
    <row r="250" spans="1:35" ht="15.75" x14ac:dyDescent="0.25">
      <c r="A250" s="466" t="s">
        <v>453</v>
      </c>
      <c r="B250" s="468"/>
      <c r="C250" s="463"/>
      <c r="D250" s="463"/>
      <c r="E250" s="463"/>
      <c r="F250" s="463"/>
      <c r="G250" s="463"/>
      <c r="H250" s="463"/>
      <c r="I250" s="463"/>
      <c r="J250" s="463"/>
      <c r="K250" s="463"/>
      <c r="L250" s="463"/>
      <c r="M250" s="463"/>
      <c r="N250" s="463"/>
      <c r="O250" s="463"/>
      <c r="P250" s="463"/>
      <c r="Q250" s="463"/>
      <c r="AB250" s="48"/>
      <c r="AC250" s="48"/>
      <c r="AD250" s="48"/>
      <c r="AE250" s="48"/>
      <c r="AF250" s="48"/>
      <c r="AG250" s="48"/>
      <c r="AH250" s="48"/>
      <c r="AI250" s="48"/>
    </row>
    <row r="251" spans="1:35" ht="15.75" x14ac:dyDescent="0.25">
      <c r="A251" s="466" t="s">
        <v>454</v>
      </c>
      <c r="B251" s="468"/>
      <c r="C251" s="463"/>
      <c r="D251" s="463"/>
      <c r="E251" s="463"/>
      <c r="F251" s="463"/>
      <c r="G251" s="463"/>
      <c r="H251" s="463"/>
      <c r="I251" s="463"/>
      <c r="J251" s="463"/>
      <c r="K251" s="463"/>
      <c r="L251" s="463"/>
      <c r="M251" s="463"/>
      <c r="N251" s="463"/>
      <c r="O251" s="463"/>
      <c r="P251" s="463"/>
      <c r="Q251" s="463"/>
      <c r="AB251" s="48"/>
      <c r="AC251" s="48"/>
      <c r="AD251" s="48"/>
      <c r="AE251" s="48"/>
      <c r="AF251" s="48"/>
      <c r="AG251" s="48"/>
      <c r="AH251" s="48"/>
      <c r="AI251" s="48"/>
    </row>
    <row r="252" spans="1:35" ht="15.75" x14ac:dyDescent="0.25">
      <c r="A252" s="466" t="s">
        <v>455</v>
      </c>
      <c r="B252" s="468"/>
      <c r="C252" s="463"/>
      <c r="D252" s="463"/>
      <c r="E252" s="463"/>
      <c r="F252" s="463"/>
      <c r="G252" s="463"/>
      <c r="H252" s="463"/>
      <c r="I252" s="463"/>
      <c r="J252" s="463"/>
      <c r="K252" s="463"/>
      <c r="L252" s="463"/>
      <c r="M252" s="463"/>
      <c r="N252" s="463"/>
      <c r="O252" s="463"/>
      <c r="P252" s="463"/>
      <c r="Q252" s="463"/>
      <c r="AB252" s="48"/>
      <c r="AC252" s="48"/>
      <c r="AD252" s="48"/>
      <c r="AE252" s="48"/>
      <c r="AF252" s="48"/>
      <c r="AG252" s="48"/>
      <c r="AH252" s="48"/>
      <c r="AI252" s="48"/>
    </row>
    <row r="253" spans="1:35" ht="15.75" x14ac:dyDescent="0.25">
      <c r="A253" s="466" t="s">
        <v>456</v>
      </c>
      <c r="B253" s="468"/>
      <c r="C253" s="463"/>
      <c r="D253" s="463"/>
      <c r="E253" s="463"/>
      <c r="F253" s="463"/>
      <c r="G253" s="463"/>
      <c r="H253" s="463"/>
      <c r="I253" s="463"/>
      <c r="J253" s="463"/>
      <c r="K253" s="463"/>
      <c r="L253" s="463"/>
      <c r="M253" s="463"/>
      <c r="N253" s="463"/>
      <c r="O253" s="463"/>
      <c r="P253" s="463"/>
      <c r="Q253" s="463"/>
      <c r="AB253" s="48"/>
      <c r="AC253" s="48"/>
      <c r="AD253" s="48"/>
      <c r="AE253" s="48"/>
      <c r="AF253" s="48"/>
      <c r="AG253" s="48"/>
      <c r="AH253" s="48"/>
      <c r="AI253" s="48"/>
    </row>
    <row r="254" spans="1:35" ht="15.75" x14ac:dyDescent="0.25">
      <c r="A254" s="466" t="s">
        <v>457</v>
      </c>
      <c r="B254" s="468"/>
      <c r="C254" s="463"/>
      <c r="D254" s="463"/>
      <c r="E254" s="463"/>
      <c r="F254" s="463"/>
      <c r="G254" s="463"/>
      <c r="H254" s="463"/>
      <c r="I254" s="463"/>
      <c r="J254" s="463"/>
      <c r="K254" s="463"/>
      <c r="L254" s="463"/>
      <c r="M254" s="463"/>
      <c r="N254" s="463"/>
      <c r="O254" s="463"/>
      <c r="P254" s="463"/>
      <c r="Q254" s="463"/>
      <c r="AB254" s="48"/>
      <c r="AC254" s="48"/>
      <c r="AD254" s="48"/>
      <c r="AE254" s="48"/>
      <c r="AF254" s="48"/>
      <c r="AG254" s="48"/>
      <c r="AH254" s="48"/>
      <c r="AI254" s="48"/>
    </row>
    <row r="255" spans="1:35" ht="15.75" x14ac:dyDescent="0.25">
      <c r="A255" s="466" t="s">
        <v>458</v>
      </c>
      <c r="B255" s="468" t="s">
        <v>85</v>
      </c>
      <c r="C255" s="463"/>
      <c r="D255" s="463" t="str">
        <f t="shared" ref="D255:I255" si="6">plus&amp;2</f>
        <v>+2</v>
      </c>
      <c r="E255" s="463" t="str">
        <f t="shared" si="6"/>
        <v>+2</v>
      </c>
      <c r="F255" s="463" t="str">
        <f t="shared" si="6"/>
        <v>+2</v>
      </c>
      <c r="G255" s="463" t="str">
        <f t="shared" si="6"/>
        <v>+2</v>
      </c>
      <c r="H255" s="463" t="str">
        <f t="shared" si="6"/>
        <v>+2</v>
      </c>
      <c r="I255" s="463" t="str">
        <f t="shared" si="6"/>
        <v>+2</v>
      </c>
      <c r="J255" s="463" t="str">
        <f t="shared" ref="J255:Q255" si="7">plus&amp;4</f>
        <v>+4</v>
      </c>
      <c r="K255" s="463" t="str">
        <f t="shared" si="7"/>
        <v>+4</v>
      </c>
      <c r="L255" s="463" t="str">
        <f t="shared" si="7"/>
        <v>+4</v>
      </c>
      <c r="M255" s="463" t="str">
        <f t="shared" si="7"/>
        <v>+4</v>
      </c>
      <c r="N255" s="463" t="str">
        <f t="shared" si="7"/>
        <v>+4</v>
      </c>
      <c r="O255" s="463" t="str">
        <f t="shared" si="7"/>
        <v>+4</v>
      </c>
      <c r="P255" s="463" t="str">
        <f t="shared" si="7"/>
        <v>+4</v>
      </c>
      <c r="Q255" s="463" t="str">
        <f t="shared" si="7"/>
        <v>+4</v>
      </c>
      <c r="AB255" s="48"/>
      <c r="AC255" s="48"/>
      <c r="AD255" s="48"/>
      <c r="AE255" s="48"/>
      <c r="AF255" s="48"/>
      <c r="AG255" s="48"/>
      <c r="AH255" s="48"/>
      <c r="AI255" s="48"/>
    </row>
    <row r="256" spans="1:35" ht="15.75" x14ac:dyDescent="0.25">
      <c r="A256" s="466" t="s">
        <v>459</v>
      </c>
      <c r="B256" s="468"/>
      <c r="C256" s="463"/>
      <c r="D256" s="463"/>
      <c r="E256" s="463"/>
      <c r="F256" s="463"/>
      <c r="G256" s="463"/>
      <c r="H256" s="463"/>
      <c r="I256" s="463"/>
      <c r="J256" s="463"/>
      <c r="K256" s="463"/>
      <c r="L256" s="463"/>
      <c r="M256" s="463"/>
      <c r="N256" s="463"/>
      <c r="O256" s="463"/>
      <c r="P256" s="463"/>
      <c r="Q256" s="463"/>
      <c r="AB256" s="48"/>
      <c r="AC256" s="48"/>
      <c r="AD256" s="48"/>
      <c r="AE256" s="48"/>
      <c r="AF256" s="48"/>
      <c r="AG256" s="48"/>
      <c r="AH256" s="48"/>
      <c r="AI256" s="48"/>
    </row>
    <row r="257" spans="1:36" ht="15.75" x14ac:dyDescent="0.25">
      <c r="A257" s="466" t="s">
        <v>460</v>
      </c>
      <c r="B257" s="468"/>
      <c r="C257" s="463"/>
      <c r="D257" s="463"/>
      <c r="E257" s="463"/>
      <c r="F257" s="463"/>
      <c r="G257" s="463"/>
      <c r="H257" s="463"/>
      <c r="I257" s="463"/>
      <c r="J257" s="463"/>
      <c r="K257" s="463"/>
      <c r="L257" s="463"/>
      <c r="M257" s="463"/>
      <c r="N257" s="463"/>
      <c r="O257" s="463"/>
      <c r="P257" s="463"/>
      <c r="Q257" s="463"/>
      <c r="AB257" s="48"/>
      <c r="AC257" s="48"/>
      <c r="AD257" s="48"/>
      <c r="AE257" s="48"/>
      <c r="AF257" s="48"/>
      <c r="AG257" s="48"/>
      <c r="AH257" s="48"/>
      <c r="AI257" s="48"/>
    </row>
    <row r="258" spans="1:36" ht="15.75" x14ac:dyDescent="0.25">
      <c r="A258" s="466" t="s">
        <v>461</v>
      </c>
      <c r="B258" s="468"/>
      <c r="C258" s="463"/>
      <c r="D258" s="463"/>
      <c r="E258" s="463"/>
      <c r="F258" s="463"/>
      <c r="G258" s="463"/>
      <c r="H258" s="463"/>
      <c r="I258" s="463"/>
      <c r="J258" s="463"/>
      <c r="K258" s="463"/>
      <c r="L258" s="463"/>
      <c r="M258" s="463"/>
      <c r="N258" s="463"/>
      <c r="O258" s="463"/>
      <c r="P258" s="463"/>
      <c r="Q258" s="463"/>
      <c r="AB258" s="48"/>
      <c r="AC258" s="48"/>
      <c r="AD258" s="48"/>
      <c r="AE258" s="48"/>
      <c r="AF258" s="48"/>
      <c r="AG258" s="48"/>
      <c r="AH258" s="48"/>
      <c r="AI258" s="48"/>
    </row>
    <row r="259" spans="1:36" ht="15.75" x14ac:dyDescent="0.25">
      <c r="A259" s="466" t="s">
        <v>462</v>
      </c>
      <c r="B259" s="468"/>
      <c r="C259" s="463"/>
      <c r="D259" s="463"/>
      <c r="E259" s="463"/>
      <c r="F259" s="463"/>
      <c r="G259" s="463"/>
      <c r="H259" s="463"/>
      <c r="I259" s="463"/>
      <c r="J259" s="463"/>
      <c r="K259" s="463"/>
      <c r="L259" s="463"/>
      <c r="M259" s="463"/>
      <c r="N259" s="463"/>
      <c r="O259" s="463"/>
      <c r="P259" s="463"/>
      <c r="Q259" s="463"/>
      <c r="AB259" s="48"/>
      <c r="AC259" s="48"/>
      <c r="AD259" s="48"/>
      <c r="AE259" s="48"/>
      <c r="AF259" s="48"/>
      <c r="AG259" s="48"/>
      <c r="AH259" s="48"/>
      <c r="AI259" s="48"/>
    </row>
    <row r="260" spans="1:36" ht="15.75" x14ac:dyDescent="0.25">
      <c r="A260" s="466" t="s">
        <v>463</v>
      </c>
      <c r="B260" s="468"/>
      <c r="C260" s="463"/>
      <c r="D260" s="463"/>
      <c r="E260" s="463"/>
      <c r="F260" s="463"/>
      <c r="G260" s="463"/>
      <c r="H260" s="463"/>
      <c r="I260" s="463"/>
      <c r="J260" s="463"/>
      <c r="K260" s="463"/>
      <c r="L260" s="463"/>
      <c r="M260" s="463"/>
      <c r="N260" s="463"/>
      <c r="O260" s="463"/>
      <c r="P260" s="463"/>
      <c r="Q260" s="463"/>
      <c r="AB260" s="48"/>
      <c r="AC260" s="48"/>
      <c r="AD260" s="48"/>
      <c r="AE260" s="48"/>
      <c r="AF260" s="48"/>
      <c r="AG260" s="48"/>
      <c r="AH260" s="48"/>
      <c r="AI260" s="48"/>
    </row>
    <row r="261" spans="1:36" ht="15.75" x14ac:dyDescent="0.25">
      <c r="A261" s="466" t="s">
        <v>464</v>
      </c>
      <c r="B261" s="468"/>
      <c r="C261" s="463"/>
      <c r="D261" s="463"/>
      <c r="E261" s="463"/>
      <c r="F261" s="463"/>
      <c r="G261" s="463"/>
      <c r="H261" s="463"/>
      <c r="I261" s="463"/>
      <c r="J261" s="463"/>
      <c r="K261" s="463"/>
      <c r="L261" s="463"/>
      <c r="M261" s="463"/>
      <c r="N261" s="463"/>
      <c r="O261" s="463"/>
      <c r="P261" s="463"/>
      <c r="Q261" s="463"/>
      <c r="AB261" s="48"/>
      <c r="AC261" s="48"/>
      <c r="AD261" s="48"/>
      <c r="AE261" s="48"/>
      <c r="AF261" s="48"/>
      <c r="AG261" s="48"/>
      <c r="AH261" s="48"/>
      <c r="AI261" s="48"/>
    </row>
    <row r="262" spans="1:36" ht="15.75" x14ac:dyDescent="0.25">
      <c r="A262" s="466" t="s">
        <v>656</v>
      </c>
      <c r="B262" s="468"/>
      <c r="C262" s="463"/>
      <c r="D262" s="463"/>
      <c r="E262" s="463"/>
      <c r="F262" s="463"/>
      <c r="G262" s="463"/>
      <c r="H262" s="463"/>
      <c r="I262" s="463"/>
      <c r="J262" s="463"/>
      <c r="K262" s="463"/>
      <c r="L262" s="463"/>
      <c r="M262" s="463"/>
      <c r="N262" s="463"/>
      <c r="O262" s="463"/>
      <c r="P262" s="463"/>
      <c r="Q262" s="463"/>
      <c r="AB262" s="48"/>
      <c r="AC262" s="48"/>
      <c r="AD262" s="48"/>
      <c r="AE262" s="48"/>
      <c r="AF262" s="48"/>
      <c r="AG262" s="48"/>
      <c r="AH262" s="48"/>
      <c r="AI262" s="48"/>
    </row>
    <row r="263" spans="1:36" ht="15.75" x14ac:dyDescent="0.25">
      <c r="A263" s="466" t="s">
        <v>465</v>
      </c>
      <c r="B263" s="468" t="s">
        <v>85</v>
      </c>
      <c r="C263" s="463"/>
      <c r="D263" s="463" t="str">
        <f>plus&amp;1</f>
        <v>+1</v>
      </c>
      <c r="E263" s="463" t="str">
        <f>plus&amp;1</f>
        <v>+1</v>
      </c>
      <c r="F263" s="463" t="str">
        <f>plus&amp;2</f>
        <v>+2</v>
      </c>
      <c r="G263" s="463" t="str">
        <f>plus&amp;2</f>
        <v>+2</v>
      </c>
      <c r="H263" s="463" t="str">
        <f>plus&amp;2</f>
        <v>+2</v>
      </c>
      <c r="I263" s="463" t="str">
        <f>plus&amp;2</f>
        <v>+2</v>
      </c>
      <c r="J263" s="463" t="str">
        <f>plus&amp;3</f>
        <v>+3</v>
      </c>
      <c r="K263" s="463" t="str">
        <f>plus&amp;3</f>
        <v>+3</v>
      </c>
      <c r="L263" s="463" t="str">
        <f>plus&amp;3</f>
        <v>+3</v>
      </c>
      <c r="M263" s="463" t="str">
        <f>plus&amp;3</f>
        <v>+3</v>
      </c>
      <c r="N263" s="463" t="str">
        <f>plus&amp;4</f>
        <v>+4</v>
      </c>
      <c r="O263" s="463" t="str">
        <f>plus&amp;4</f>
        <v>+4</v>
      </c>
      <c r="P263" s="463" t="str">
        <f>plus&amp;4</f>
        <v>+4</v>
      </c>
      <c r="Q263" s="463" t="str">
        <f>plus&amp;4</f>
        <v>+4</v>
      </c>
      <c r="AB263" s="48"/>
      <c r="AC263" s="48"/>
      <c r="AD263" s="48"/>
      <c r="AE263" s="48"/>
      <c r="AF263" s="48"/>
      <c r="AG263" s="48"/>
      <c r="AH263" s="48"/>
      <c r="AI263" s="48"/>
    </row>
    <row r="264" spans="1:36" ht="15.75" x14ac:dyDescent="0.25">
      <c r="A264" s="467" t="str">
        <f>IF(wp_custom1="", "", wp_custom1)</f>
        <v>W.P. #1</v>
      </c>
      <c r="B264" s="468" t="str">
        <f>IF(E271="None", "", E271)</f>
        <v/>
      </c>
      <c r="C264" s="463" t="str">
        <f>IF($B264="", "", plus&amp;VLOOKUP($B264, vl_wp1, 2, FALSE))</f>
        <v/>
      </c>
      <c r="D264" s="463" t="str">
        <f>IF($B264="", "", plus&amp;VLOOKUP($B264, vl_wp1, 3, FALSE))</f>
        <v/>
      </c>
      <c r="E264" s="463" t="str">
        <f>IF($B264="", "", plus&amp;VLOOKUP($B264, vl_wp1, 4, FALSE))</f>
        <v/>
      </c>
      <c r="F264" s="463" t="str">
        <f>IF($B264="", "", plus&amp;VLOOKUP($B264, vl_wp1, 5, FALSE))</f>
        <v/>
      </c>
      <c r="G264" s="463" t="str">
        <f>IF($B264="", "", plus&amp;VLOOKUP($B264, vl_wp1, 6, FALSE))</f>
        <v/>
      </c>
      <c r="H264" s="463" t="str">
        <f>IF($B264="", "", plus&amp;VLOOKUP($B264, vl_wp1, 7, FALSE))</f>
        <v/>
      </c>
      <c r="I264" s="463" t="str">
        <f>IF($B264="", "", plus&amp;VLOOKUP($B264, vl_wp1, 8, FALSE))</f>
        <v/>
      </c>
      <c r="J264" s="463" t="str">
        <f>IF($B264="", "", plus&amp;VLOOKUP($B264, vl_wp1, 9, FALSE))</f>
        <v/>
      </c>
      <c r="K264" s="463" t="str">
        <f>IF($B264="", "", plus&amp;VLOOKUP($B264, vl_wp1, 10, FALSE))</f>
        <v/>
      </c>
      <c r="L264" s="463" t="str">
        <f>IF($B264="", "", plus&amp;VLOOKUP($B264, vl_wp1,11, FALSE))</f>
        <v/>
      </c>
      <c r="M264" s="463" t="str">
        <f>IF($B264="", "", plus&amp;VLOOKUP($B264, vl_wp1, 12, FALSE))</f>
        <v/>
      </c>
      <c r="N264" s="463" t="str">
        <f>IF($B264="", "", plus&amp;VLOOKUP($B264, vl_wp1, 13, FALSE))</f>
        <v/>
      </c>
      <c r="O264" s="463" t="str">
        <f>IF($B264="", "", plus&amp;VLOOKUP($B264, vl_wp1, 14, FALSE))</f>
        <v/>
      </c>
      <c r="P264" s="463" t="str">
        <f>IF($B264="", "", plus&amp;VLOOKUP($B264, vl_wp1, 15, FALSE))</f>
        <v/>
      </c>
      <c r="Q264" s="463" t="str">
        <f>IF($B264="", "", plus&amp;VLOOKUP($B264, vl_wp1, 16, FALSE))</f>
        <v/>
      </c>
      <c r="AC264" s="48"/>
      <c r="AD264" s="48"/>
      <c r="AE264" s="48"/>
      <c r="AF264" s="48"/>
      <c r="AG264" s="48"/>
      <c r="AH264" s="48"/>
      <c r="AI264" s="48"/>
      <c r="AJ264" s="48"/>
    </row>
    <row r="265" spans="1:36" ht="15.75" x14ac:dyDescent="0.25">
      <c r="A265" s="467" t="str">
        <f>IF(wp_custom2="", "", wp_custom2)</f>
        <v>W.P. #2</v>
      </c>
      <c r="B265" s="468" t="str">
        <f t="shared" ref="B265:B266" si="8">IF(E272="None", "", E272)</f>
        <v/>
      </c>
      <c r="C265" s="463" t="str">
        <f>IF($B265="", "", plus&amp;VLOOKUP($B265, vl_wp2, 2, FALSE))</f>
        <v/>
      </c>
      <c r="D265" s="463" t="str">
        <f>IF($B265="", "", plus&amp;VLOOKUP($B265, vl_wp2, 3, FALSE))</f>
        <v/>
      </c>
      <c r="E265" s="463" t="str">
        <f>IF($B265="", "", plus&amp;VLOOKUP($B265, vl_wp2, 4, FALSE))</f>
        <v/>
      </c>
      <c r="F265" s="463" t="str">
        <f>IF($B265="", "", plus&amp;VLOOKUP($B265, vl_wp2, 5, FALSE))</f>
        <v/>
      </c>
      <c r="G265" s="463" t="str">
        <f>IF($B265="", "", plus&amp;VLOOKUP($B265, vl_wp2, 6, FALSE))</f>
        <v/>
      </c>
      <c r="H265" s="463" t="str">
        <f>IF($B265="", "", plus&amp;VLOOKUP($B265, vl_wp2, 7, FALSE))</f>
        <v/>
      </c>
      <c r="I265" s="463" t="str">
        <f>IF($B265="", "", plus&amp;VLOOKUP($B265, vl_wp2, 8, FALSE))</f>
        <v/>
      </c>
      <c r="J265" s="463" t="str">
        <f>IF($B265="", "", plus&amp;VLOOKUP($B265, vl_wp2, 9, FALSE))</f>
        <v/>
      </c>
      <c r="K265" s="463" t="str">
        <f>IF($B265="", "", plus&amp;VLOOKUP($B265, vl_wp2, 10, FALSE))</f>
        <v/>
      </c>
      <c r="L265" s="463" t="str">
        <f>IF($B265="", "", plus&amp;VLOOKUP($B265, vl_wp2, 11, FALSE))</f>
        <v/>
      </c>
      <c r="M265" s="463" t="str">
        <f>IF($B265="", "", plus&amp;VLOOKUP($B265, vl_wp2, 12, FALSE))</f>
        <v/>
      </c>
      <c r="N265" s="463" t="str">
        <f>IF($B265="", "", plus&amp;VLOOKUP($B265, vl_wp2, 13, FALSE))</f>
        <v/>
      </c>
      <c r="O265" s="463" t="str">
        <f>IF($B265="", "", plus&amp;VLOOKUP($B265, vl_wp2, 14, FALSE))</f>
        <v/>
      </c>
      <c r="P265" s="463" t="str">
        <f>IF($B265="", "", plus&amp;VLOOKUP($B265, vl_wp2, 15, FALSE))</f>
        <v/>
      </c>
      <c r="Q265" s="463" t="str">
        <f>IF($B265="", "", plus&amp;VLOOKUP($B265, vl_wp2, 16, FALSE))</f>
        <v/>
      </c>
      <c r="AC265" s="48"/>
      <c r="AD265" s="48"/>
      <c r="AE265" s="48"/>
      <c r="AF265" s="48"/>
      <c r="AG265" s="48"/>
      <c r="AH265" s="48"/>
      <c r="AI265" s="48"/>
      <c r="AJ265" s="48"/>
    </row>
    <row r="266" spans="1:36" ht="15.75" x14ac:dyDescent="0.25">
      <c r="A266" s="467" t="str">
        <f>IF(wp_custom3="", "", wp_custom3)</f>
        <v>W.P. #3</v>
      </c>
      <c r="B266" s="468" t="str">
        <f t="shared" si="8"/>
        <v/>
      </c>
      <c r="C266" s="463" t="str">
        <f>IF($B266="", "", plus&amp;VLOOKUP($B266, vl_wp3, 2, FALSE))</f>
        <v/>
      </c>
      <c r="D266" s="463" t="str">
        <f>IF($B266="", "", plus&amp;VLOOKUP($B266, vl_wp3, 3, FALSE))</f>
        <v/>
      </c>
      <c r="E266" s="463" t="str">
        <f>IF($B266="", "", plus&amp;VLOOKUP($B266, vl_wp3, 4, FALSE))</f>
        <v/>
      </c>
      <c r="F266" s="463" t="str">
        <f>IF($B266="", "", plus&amp;VLOOKUP($B266, vl_wp3, 5, FALSE))</f>
        <v/>
      </c>
      <c r="G266" s="463" t="str">
        <f>IF($B266="", "", plus&amp;VLOOKUP($B266, vl_wp3, 6, FALSE))</f>
        <v/>
      </c>
      <c r="H266" s="463" t="str">
        <f>IF($B266="", "", plus&amp;VLOOKUP($B266, vl_wp3, 7, FALSE))</f>
        <v/>
      </c>
      <c r="I266" s="463" t="str">
        <f>IF($B266="", "", plus&amp;VLOOKUP($B266, vl_wp3, 8, FALSE))</f>
        <v/>
      </c>
      <c r="J266" s="463" t="str">
        <f>IF($B266="", "", plus&amp;VLOOKUP($B266, vl_wp3, 9, FALSE))</f>
        <v/>
      </c>
      <c r="K266" s="463" t="str">
        <f>IF($B266="", "", plus&amp;VLOOKUP($B266, vl_wp3, 10, FALSE))</f>
        <v/>
      </c>
      <c r="L266" s="463" t="str">
        <f>IF($B266="", "", plus&amp;VLOOKUP($B266, vl_wp3, 11, FALSE))</f>
        <v/>
      </c>
      <c r="M266" s="463" t="str">
        <f>IF($B266="", "", plus&amp;VLOOKUP($B266, vl_wp3, 12, FALSE))</f>
        <v/>
      </c>
      <c r="N266" s="463" t="str">
        <f>IF($B266="", "", plus&amp;VLOOKUP($B266, vl_wp3, 13, FALSE))</f>
        <v/>
      </c>
      <c r="O266" s="463" t="str">
        <f>IF($B266="", "", plus&amp;VLOOKUP($B266, vl_wp3, 14, FALSE))</f>
        <v/>
      </c>
      <c r="P266" s="463" t="str">
        <f>IF($B266="", "", plus&amp;VLOOKUP($B266, vl_wp3, 15, FALSE))</f>
        <v/>
      </c>
      <c r="Q266" s="463" t="str">
        <f>IF($B266="", "", plus&amp;VLOOKUP($B266, vl_wp3, 16, FALSE))</f>
        <v/>
      </c>
      <c r="AC266" s="48"/>
      <c r="AD266" s="48"/>
      <c r="AE266" s="48"/>
      <c r="AF266" s="48"/>
      <c r="AG266" s="48"/>
      <c r="AH266" s="48"/>
      <c r="AI266" s="48"/>
      <c r="AJ266" s="48"/>
    </row>
    <row r="267" spans="1:36" ht="15.75" thickBot="1" x14ac:dyDescent="0.3">
      <c r="A267" s="199"/>
      <c r="B267" s="199"/>
      <c r="C267" s="199"/>
      <c r="D267" s="199"/>
      <c r="E267" s="199"/>
      <c r="F267" s="199"/>
      <c r="G267" s="199"/>
      <c r="H267" s="199"/>
      <c r="I267" s="199"/>
      <c r="J267" s="199"/>
      <c r="K267" s="199"/>
      <c r="L267" s="199"/>
      <c r="M267" s="199"/>
      <c r="N267" s="199"/>
      <c r="O267" s="199"/>
      <c r="P267" s="199"/>
      <c r="Q267" s="199"/>
      <c r="AB267" s="48"/>
      <c r="AC267" s="48"/>
      <c r="AD267" s="48"/>
      <c r="AE267" s="48"/>
      <c r="AF267" s="48"/>
      <c r="AG267" s="48"/>
      <c r="AH267" s="48"/>
      <c r="AI267" s="48"/>
    </row>
    <row r="268" spans="1:36" ht="15.75" thickBot="1" x14ac:dyDescent="0.3">
      <c r="A268" s="669" t="s">
        <v>736</v>
      </c>
      <c r="B268" s="670"/>
      <c r="C268" s="670"/>
      <c r="D268" s="670"/>
      <c r="E268" s="670"/>
      <c r="F268" s="670"/>
      <c r="G268" s="670"/>
      <c r="H268" s="670"/>
      <c r="I268" s="670"/>
      <c r="J268" s="670"/>
      <c r="K268" s="670"/>
      <c r="L268" s="670"/>
      <c r="M268" s="670"/>
      <c r="N268" s="670"/>
      <c r="O268" s="670"/>
      <c r="P268" s="670"/>
      <c r="Q268" s="671"/>
      <c r="AB268" s="48"/>
      <c r="AC268" s="48"/>
      <c r="AD268" s="48"/>
      <c r="AE268" s="48"/>
      <c r="AF268" s="48"/>
      <c r="AG268" s="48"/>
      <c r="AH268" s="48"/>
      <c r="AI268" s="48"/>
    </row>
    <row r="269" spans="1:36" ht="15.75" thickBot="1" x14ac:dyDescent="0.3">
      <c r="A269" s="470"/>
      <c r="B269" s="471"/>
      <c r="C269" s="471"/>
      <c r="D269" s="471"/>
      <c r="E269" s="471"/>
      <c r="F269" s="471"/>
      <c r="G269" s="471"/>
      <c r="H269" s="471"/>
      <c r="I269" s="471"/>
      <c r="J269" s="471"/>
      <c r="K269" s="471"/>
      <c r="L269" s="471"/>
      <c r="M269" s="471"/>
      <c r="N269" s="471"/>
      <c r="O269" s="471"/>
      <c r="P269" s="471"/>
      <c r="Q269" s="472"/>
      <c r="AB269" s="48"/>
      <c r="AC269" s="48"/>
      <c r="AD269" s="48"/>
      <c r="AE269" s="48"/>
      <c r="AF269" s="48"/>
      <c r="AG269" s="48"/>
      <c r="AH269" s="48"/>
      <c r="AI269" s="48"/>
    </row>
    <row r="270" spans="1:36" ht="15.75" thickBot="1" x14ac:dyDescent="0.3">
      <c r="A270" s="473"/>
      <c r="B270" s="1459" t="s">
        <v>684</v>
      </c>
      <c r="C270" s="1084"/>
      <c r="D270" s="1083" t="s">
        <v>685</v>
      </c>
      <c r="E270" s="1084"/>
      <c r="F270" s="474"/>
      <c r="G270" s="288" t="s">
        <v>732</v>
      </c>
      <c r="H270" s="289" t="s">
        <v>733</v>
      </c>
      <c r="I270" s="289" t="s">
        <v>734</v>
      </c>
      <c r="J270" s="290" t="s">
        <v>735</v>
      </c>
      <c r="K270" s="474"/>
      <c r="L270" s="474"/>
      <c r="M270" s="474"/>
      <c r="N270" s="474"/>
      <c r="O270" s="474"/>
      <c r="P270" s="474"/>
      <c r="Q270" s="475"/>
      <c r="AB270" s="48"/>
      <c r="AC270" s="48"/>
      <c r="AD270" s="48"/>
      <c r="AE270" s="48"/>
      <c r="AF270" s="48"/>
      <c r="AG270" s="48"/>
      <c r="AH270" s="48"/>
      <c r="AI270" s="48"/>
    </row>
    <row r="271" spans="1:36" x14ac:dyDescent="0.25">
      <c r="A271" s="473"/>
      <c r="B271" s="476">
        <v>1</v>
      </c>
      <c r="C271" s="336" t="str">
        <f>VLOOKUP(B271, sf_wp1, 4, FALSE)</f>
        <v>None</v>
      </c>
      <c r="D271" s="477">
        <v>1</v>
      </c>
      <c r="E271" s="336" t="str">
        <f>VLOOKUP(D271, sf_wp1, 4, FALSE)</f>
        <v>None</v>
      </c>
      <c r="F271" s="474"/>
      <c r="G271" s="478">
        <v>1</v>
      </c>
      <c r="H271" s="325">
        <v>7</v>
      </c>
      <c r="I271" s="325">
        <v>13</v>
      </c>
      <c r="J271" s="326" t="s">
        <v>214</v>
      </c>
      <c r="K271" s="474"/>
      <c r="L271" s="474"/>
      <c r="M271" s="474"/>
      <c r="N271" s="474"/>
      <c r="O271" s="474"/>
      <c r="P271" s="474"/>
      <c r="Q271" s="475"/>
      <c r="AB271" s="48"/>
      <c r="AC271" s="48"/>
      <c r="AD271" s="48"/>
      <c r="AE271" s="48"/>
      <c r="AF271" s="48"/>
      <c r="AG271" s="48"/>
      <c r="AH271" s="48"/>
      <c r="AI271" s="48"/>
    </row>
    <row r="272" spans="1:36" x14ac:dyDescent="0.25">
      <c r="A272" s="473"/>
      <c r="B272" s="476">
        <v>7</v>
      </c>
      <c r="C272" s="336" t="str">
        <f>VLOOKUP(B272, sf_wp2, 3, FALSE)</f>
        <v>None</v>
      </c>
      <c r="D272" s="477">
        <v>7</v>
      </c>
      <c r="E272" s="336" t="str">
        <f>VLOOKUP(D272, sf_wp2, 3, FALSE)</f>
        <v>None</v>
      </c>
      <c r="F272" s="474"/>
      <c r="G272" s="373">
        <v>2</v>
      </c>
      <c r="H272" s="335">
        <v>8</v>
      </c>
      <c r="I272" s="335">
        <v>14</v>
      </c>
      <c r="J272" s="336" t="s">
        <v>172</v>
      </c>
      <c r="K272" s="474"/>
      <c r="L272" s="474"/>
      <c r="M272" s="474"/>
      <c r="N272" s="474"/>
      <c r="O272" s="474"/>
      <c r="P272" s="474"/>
      <c r="Q272" s="475"/>
      <c r="AB272" s="48"/>
      <c r="AC272" s="48"/>
      <c r="AD272" s="48"/>
      <c r="AE272" s="48"/>
      <c r="AF272" s="48"/>
      <c r="AG272" s="48"/>
      <c r="AH272" s="48"/>
      <c r="AI272" s="48"/>
    </row>
    <row r="273" spans="1:35" ht="15.75" thickBot="1" x14ac:dyDescent="0.3">
      <c r="A273" s="473"/>
      <c r="B273" s="479">
        <v>13</v>
      </c>
      <c r="C273" s="344" t="str">
        <f>VLOOKUP(B273, sf_wp3, 2, FALSE)</f>
        <v>None</v>
      </c>
      <c r="D273" s="480">
        <v>13</v>
      </c>
      <c r="E273" s="344" t="str">
        <f>VLOOKUP(D273, sf_wp3, 2, FALSE)</f>
        <v>None</v>
      </c>
      <c r="F273" s="474"/>
      <c r="G273" s="373">
        <v>3</v>
      </c>
      <c r="H273" s="335">
        <v>9</v>
      </c>
      <c r="I273" s="335">
        <v>15</v>
      </c>
      <c r="J273" s="336" t="s">
        <v>240</v>
      </c>
      <c r="K273" s="474"/>
      <c r="L273" s="474"/>
      <c r="M273" s="474"/>
      <c r="N273" s="474"/>
      <c r="O273" s="474"/>
      <c r="P273" s="474"/>
      <c r="Q273" s="475"/>
      <c r="AB273" s="48"/>
      <c r="AC273" s="48"/>
      <c r="AD273" s="48"/>
      <c r="AE273" s="48"/>
      <c r="AF273" s="48"/>
      <c r="AG273" s="48"/>
      <c r="AH273" s="48"/>
      <c r="AI273" s="48"/>
    </row>
    <row r="274" spans="1:35" x14ac:dyDescent="0.25">
      <c r="A274" s="473"/>
      <c r="B274" s="474"/>
      <c r="C274" s="474"/>
      <c r="D274" s="474"/>
      <c r="E274" s="474"/>
      <c r="F274" s="474"/>
      <c r="G274" s="373">
        <v>4</v>
      </c>
      <c r="H274" s="335">
        <v>10</v>
      </c>
      <c r="I274" s="335">
        <v>16</v>
      </c>
      <c r="J274" s="336" t="s">
        <v>85</v>
      </c>
      <c r="K274" s="474"/>
      <c r="L274" s="474"/>
      <c r="M274" s="474"/>
      <c r="N274" s="474"/>
      <c r="O274" s="474"/>
      <c r="P274" s="474"/>
      <c r="Q274" s="475"/>
      <c r="AB274" s="48"/>
      <c r="AC274" s="48"/>
      <c r="AD274" s="48"/>
      <c r="AE274" s="48"/>
      <c r="AF274" s="48"/>
      <c r="AG274" s="48"/>
      <c r="AH274" s="48"/>
      <c r="AI274" s="48"/>
    </row>
    <row r="275" spans="1:35" x14ac:dyDescent="0.25">
      <c r="A275" s="473"/>
      <c r="B275" s="474"/>
      <c r="C275" s="474"/>
      <c r="D275" s="474"/>
      <c r="E275" s="474"/>
      <c r="F275" s="474"/>
      <c r="G275" s="373">
        <v>5</v>
      </c>
      <c r="H275" s="335">
        <v>11</v>
      </c>
      <c r="I275" s="335">
        <v>17</v>
      </c>
      <c r="J275" s="336" t="s">
        <v>176</v>
      </c>
      <c r="K275" s="474"/>
      <c r="L275" s="474"/>
      <c r="M275" s="474"/>
      <c r="N275" s="474"/>
      <c r="O275" s="474"/>
      <c r="P275" s="474"/>
      <c r="Q275" s="475"/>
      <c r="AB275" s="48"/>
      <c r="AC275" s="48"/>
      <c r="AD275" s="48"/>
      <c r="AE275" s="48"/>
      <c r="AF275" s="48"/>
      <c r="AG275" s="48"/>
      <c r="AH275" s="48"/>
      <c r="AI275" s="48"/>
    </row>
    <row r="276" spans="1:35" ht="15.75" thickBot="1" x14ac:dyDescent="0.3">
      <c r="A276" s="473"/>
      <c r="B276" s="474"/>
      <c r="C276" s="474"/>
      <c r="D276" s="474"/>
      <c r="E276" s="474"/>
      <c r="F276" s="474"/>
      <c r="G276" s="375">
        <v>6</v>
      </c>
      <c r="H276" s="343">
        <v>12</v>
      </c>
      <c r="I276" s="343">
        <v>18</v>
      </c>
      <c r="J276" s="344" t="s">
        <v>674</v>
      </c>
      <c r="K276" s="474"/>
      <c r="L276" s="474"/>
      <c r="M276" s="474"/>
      <c r="N276" s="474"/>
      <c r="O276" s="474"/>
      <c r="P276" s="474"/>
      <c r="Q276" s="475"/>
      <c r="AB276" s="48"/>
      <c r="AC276" s="48"/>
      <c r="AD276" s="48"/>
      <c r="AE276" s="48"/>
      <c r="AF276" s="48"/>
      <c r="AG276" s="48"/>
      <c r="AH276" s="48"/>
      <c r="AI276" s="48"/>
    </row>
    <row r="277" spans="1:35" x14ac:dyDescent="0.25">
      <c r="A277" s="473"/>
      <c r="B277" s="474"/>
      <c r="C277" s="474"/>
      <c r="D277" s="474"/>
      <c r="E277" s="474"/>
      <c r="F277" s="474"/>
      <c r="G277" s="474"/>
      <c r="H277" s="474"/>
      <c r="I277" s="474"/>
      <c r="J277" s="474"/>
      <c r="K277" s="474"/>
      <c r="L277" s="474"/>
      <c r="M277" s="474"/>
      <c r="N277" s="474"/>
      <c r="O277" s="474"/>
      <c r="P277" s="474"/>
      <c r="Q277" s="475"/>
      <c r="AB277" s="48"/>
      <c r="AC277" s="48"/>
      <c r="AD277" s="48"/>
      <c r="AE277" s="48"/>
      <c r="AF277" s="48"/>
      <c r="AG277" s="48"/>
      <c r="AH277" s="48"/>
      <c r="AI277" s="48"/>
    </row>
    <row r="278" spans="1:35" x14ac:dyDescent="0.25">
      <c r="A278" s="291" t="s">
        <v>732</v>
      </c>
      <c r="B278" s="251">
        <v>1</v>
      </c>
      <c r="C278" s="251">
        <v>2</v>
      </c>
      <c r="D278" s="251">
        <v>3</v>
      </c>
      <c r="E278" s="251">
        <v>4</v>
      </c>
      <c r="F278" s="251">
        <v>5</v>
      </c>
      <c r="G278" s="251">
        <v>6</v>
      </c>
      <c r="H278" s="251">
        <v>7</v>
      </c>
      <c r="I278" s="251">
        <v>8</v>
      </c>
      <c r="J278" s="251">
        <v>9</v>
      </c>
      <c r="K278" s="251">
        <v>10</v>
      </c>
      <c r="L278" s="251">
        <v>11</v>
      </c>
      <c r="M278" s="251">
        <v>12</v>
      </c>
      <c r="N278" s="251">
        <v>13</v>
      </c>
      <c r="O278" s="251">
        <v>14</v>
      </c>
      <c r="P278" s="251">
        <v>15</v>
      </c>
      <c r="Q278" s="475"/>
      <c r="AB278" s="48"/>
      <c r="AC278" s="48"/>
      <c r="AD278" s="48"/>
      <c r="AE278" s="48"/>
      <c r="AF278" s="48"/>
      <c r="AG278" s="48"/>
      <c r="AH278" s="48"/>
      <c r="AI278" s="48"/>
    </row>
    <row r="279" spans="1:35" x14ac:dyDescent="0.25">
      <c r="A279" s="400" t="s">
        <v>172</v>
      </c>
      <c r="B279" s="335">
        <f>B86</f>
        <v>0</v>
      </c>
      <c r="C279" s="335">
        <f t="shared" ref="C279:P279" si="9">C86</f>
        <v>0</v>
      </c>
      <c r="D279" s="335">
        <f t="shared" si="9"/>
        <v>0</v>
      </c>
      <c r="E279" s="335">
        <f t="shared" si="9"/>
        <v>0</v>
      </c>
      <c r="F279" s="335">
        <f t="shared" si="9"/>
        <v>0</v>
      </c>
      <c r="G279" s="335">
        <f t="shared" si="9"/>
        <v>0</v>
      </c>
      <c r="H279" s="335">
        <f t="shared" si="9"/>
        <v>0</v>
      </c>
      <c r="I279" s="335">
        <f t="shared" si="9"/>
        <v>0</v>
      </c>
      <c r="J279" s="335">
        <f t="shared" si="9"/>
        <v>0</v>
      </c>
      <c r="K279" s="335">
        <f t="shared" si="9"/>
        <v>0</v>
      </c>
      <c r="L279" s="335">
        <f t="shared" si="9"/>
        <v>0</v>
      </c>
      <c r="M279" s="335">
        <f t="shared" si="9"/>
        <v>0</v>
      </c>
      <c r="N279" s="335">
        <f t="shared" si="9"/>
        <v>0</v>
      </c>
      <c r="O279" s="335">
        <f t="shared" si="9"/>
        <v>0</v>
      </c>
      <c r="P279" s="335">
        <f t="shared" si="9"/>
        <v>0</v>
      </c>
      <c r="Q279" s="475"/>
      <c r="AB279" s="48"/>
      <c r="AC279" s="48"/>
      <c r="AD279" s="48"/>
      <c r="AE279" s="48"/>
      <c r="AF279" s="48"/>
      <c r="AG279" s="48"/>
      <c r="AH279" s="48"/>
      <c r="AI279" s="48"/>
    </row>
    <row r="280" spans="1:35" x14ac:dyDescent="0.25">
      <c r="A280" s="400" t="s">
        <v>240</v>
      </c>
      <c r="B280" s="335">
        <f>B115</f>
        <v>0</v>
      </c>
      <c r="C280" s="335">
        <f t="shared" ref="C280:P280" si="10">C115</f>
        <v>0</v>
      </c>
      <c r="D280" s="335">
        <f t="shared" si="10"/>
        <v>0</v>
      </c>
      <c r="E280" s="335">
        <f t="shared" si="10"/>
        <v>0</v>
      </c>
      <c r="F280" s="335">
        <f t="shared" si="10"/>
        <v>0</v>
      </c>
      <c r="G280" s="335">
        <f t="shared" si="10"/>
        <v>0</v>
      </c>
      <c r="H280" s="335">
        <f t="shared" si="10"/>
        <v>0</v>
      </c>
      <c r="I280" s="335">
        <f t="shared" si="10"/>
        <v>0</v>
      </c>
      <c r="J280" s="335">
        <f t="shared" si="10"/>
        <v>0</v>
      </c>
      <c r="K280" s="335">
        <f t="shared" si="10"/>
        <v>0</v>
      </c>
      <c r="L280" s="335">
        <f t="shared" si="10"/>
        <v>0</v>
      </c>
      <c r="M280" s="335">
        <f t="shared" si="10"/>
        <v>0</v>
      </c>
      <c r="N280" s="335">
        <f t="shared" si="10"/>
        <v>0</v>
      </c>
      <c r="O280" s="335">
        <f t="shared" si="10"/>
        <v>0</v>
      </c>
      <c r="P280" s="335">
        <f t="shared" si="10"/>
        <v>0</v>
      </c>
      <c r="Q280" s="475"/>
      <c r="AB280" s="48"/>
      <c r="AC280" s="48"/>
      <c r="AD280" s="48"/>
      <c r="AE280" s="48"/>
      <c r="AF280" s="48"/>
      <c r="AG280" s="48"/>
      <c r="AH280" s="48"/>
      <c r="AI280" s="48"/>
    </row>
    <row r="281" spans="1:35" x14ac:dyDescent="0.25">
      <c r="A281" s="400" t="s">
        <v>85</v>
      </c>
      <c r="B281" s="335">
        <f>B144</f>
        <v>0</v>
      </c>
      <c r="C281" s="335">
        <f t="shared" ref="C281:P281" si="11">C144</f>
        <v>0</v>
      </c>
      <c r="D281" s="335">
        <f t="shared" si="11"/>
        <v>0</v>
      </c>
      <c r="E281" s="335">
        <f t="shared" si="11"/>
        <v>0</v>
      </c>
      <c r="F281" s="335">
        <f t="shared" si="11"/>
        <v>0</v>
      </c>
      <c r="G281" s="335">
        <f t="shared" si="11"/>
        <v>0</v>
      </c>
      <c r="H281" s="335">
        <f t="shared" si="11"/>
        <v>0</v>
      </c>
      <c r="I281" s="335">
        <f t="shared" si="11"/>
        <v>0</v>
      </c>
      <c r="J281" s="335">
        <f t="shared" si="11"/>
        <v>0</v>
      </c>
      <c r="K281" s="335">
        <f t="shared" si="11"/>
        <v>0</v>
      </c>
      <c r="L281" s="335">
        <f t="shared" si="11"/>
        <v>0</v>
      </c>
      <c r="M281" s="335">
        <f t="shared" si="11"/>
        <v>0</v>
      </c>
      <c r="N281" s="335">
        <f t="shared" si="11"/>
        <v>0</v>
      </c>
      <c r="O281" s="335">
        <f t="shared" si="11"/>
        <v>0</v>
      </c>
      <c r="P281" s="335">
        <f t="shared" si="11"/>
        <v>0</v>
      </c>
      <c r="Q281" s="475"/>
      <c r="AB281" s="48"/>
      <c r="AC281" s="48"/>
      <c r="AD281" s="48"/>
      <c r="AE281" s="48"/>
      <c r="AF281" s="48"/>
      <c r="AG281" s="48"/>
      <c r="AH281" s="48"/>
      <c r="AI281" s="48"/>
    </row>
    <row r="282" spans="1:35" x14ac:dyDescent="0.25">
      <c r="A282" s="400" t="s">
        <v>176</v>
      </c>
      <c r="B282" s="335">
        <f>B173</f>
        <v>0</v>
      </c>
      <c r="C282" s="335">
        <f t="shared" ref="C282:P282" si="12">C173</f>
        <v>0</v>
      </c>
      <c r="D282" s="335">
        <f t="shared" si="12"/>
        <v>0</v>
      </c>
      <c r="E282" s="335">
        <f t="shared" si="12"/>
        <v>0</v>
      </c>
      <c r="F282" s="335">
        <f t="shared" si="12"/>
        <v>0</v>
      </c>
      <c r="G282" s="335">
        <f t="shared" si="12"/>
        <v>0</v>
      </c>
      <c r="H282" s="335">
        <f t="shared" si="12"/>
        <v>0</v>
      </c>
      <c r="I282" s="335">
        <f t="shared" si="12"/>
        <v>0</v>
      </c>
      <c r="J282" s="335">
        <f t="shared" si="12"/>
        <v>0</v>
      </c>
      <c r="K282" s="335">
        <f t="shared" si="12"/>
        <v>0</v>
      </c>
      <c r="L282" s="335">
        <f t="shared" si="12"/>
        <v>0</v>
      </c>
      <c r="M282" s="335">
        <f t="shared" si="12"/>
        <v>0</v>
      </c>
      <c r="N282" s="335">
        <f t="shared" si="12"/>
        <v>0</v>
      </c>
      <c r="O282" s="335">
        <f t="shared" si="12"/>
        <v>0</v>
      </c>
      <c r="P282" s="335">
        <f t="shared" si="12"/>
        <v>0</v>
      </c>
      <c r="Q282" s="475"/>
      <c r="AB282" s="48"/>
      <c r="AC282" s="48"/>
      <c r="AD282" s="48"/>
      <c r="AE282" s="48"/>
      <c r="AF282" s="48"/>
      <c r="AG282" s="48"/>
      <c r="AH282" s="48"/>
      <c r="AI282" s="48"/>
    </row>
    <row r="283" spans="1:35" x14ac:dyDescent="0.25">
      <c r="A283" s="400" t="s">
        <v>674</v>
      </c>
      <c r="B283" s="335">
        <f>B202</f>
        <v>0</v>
      </c>
      <c r="C283" s="335">
        <f t="shared" ref="C283:P283" si="13">C202</f>
        <v>0</v>
      </c>
      <c r="D283" s="335">
        <f t="shared" si="13"/>
        <v>0</v>
      </c>
      <c r="E283" s="335">
        <f t="shared" si="13"/>
        <v>0</v>
      </c>
      <c r="F283" s="335">
        <f t="shared" si="13"/>
        <v>0</v>
      </c>
      <c r="G283" s="335">
        <f t="shared" si="13"/>
        <v>0</v>
      </c>
      <c r="H283" s="335">
        <f t="shared" si="13"/>
        <v>0</v>
      </c>
      <c r="I283" s="335">
        <f t="shared" si="13"/>
        <v>0</v>
      </c>
      <c r="J283" s="335">
        <f t="shared" si="13"/>
        <v>0</v>
      </c>
      <c r="K283" s="335">
        <f t="shared" si="13"/>
        <v>0</v>
      </c>
      <c r="L283" s="335">
        <f t="shared" si="13"/>
        <v>0</v>
      </c>
      <c r="M283" s="335">
        <f t="shared" si="13"/>
        <v>0</v>
      </c>
      <c r="N283" s="335">
        <f t="shared" si="13"/>
        <v>0</v>
      </c>
      <c r="O283" s="335">
        <f t="shared" si="13"/>
        <v>0</v>
      </c>
      <c r="P283" s="335">
        <f t="shared" si="13"/>
        <v>0</v>
      </c>
      <c r="Q283" s="475"/>
      <c r="AB283" s="48"/>
      <c r="AC283" s="48"/>
      <c r="AD283" s="48"/>
      <c r="AE283" s="48"/>
      <c r="AF283" s="48"/>
      <c r="AG283" s="48"/>
      <c r="AH283" s="48"/>
      <c r="AI283" s="48"/>
    </row>
    <row r="284" spans="1:35" x14ac:dyDescent="0.25">
      <c r="A284" s="473"/>
      <c r="B284" s="474"/>
      <c r="C284" s="474"/>
      <c r="D284" s="474"/>
      <c r="E284" s="474"/>
      <c r="F284" s="474"/>
      <c r="G284" s="474"/>
      <c r="H284" s="474"/>
      <c r="I284" s="474"/>
      <c r="J284" s="474"/>
      <c r="K284" s="474"/>
      <c r="L284" s="474"/>
      <c r="M284" s="474"/>
      <c r="N284" s="474"/>
      <c r="O284" s="474"/>
      <c r="P284" s="474"/>
      <c r="Q284" s="475"/>
      <c r="AB284" s="48"/>
      <c r="AC284" s="48"/>
      <c r="AD284" s="48"/>
      <c r="AE284" s="48"/>
      <c r="AF284" s="48"/>
      <c r="AG284" s="48"/>
      <c r="AH284" s="48"/>
      <c r="AI284" s="48"/>
    </row>
    <row r="285" spans="1:35" x14ac:dyDescent="0.25">
      <c r="A285" s="291" t="s">
        <v>733</v>
      </c>
      <c r="B285" s="251">
        <v>1</v>
      </c>
      <c r="C285" s="251">
        <v>2</v>
      </c>
      <c r="D285" s="251">
        <v>3</v>
      </c>
      <c r="E285" s="251">
        <v>4</v>
      </c>
      <c r="F285" s="251">
        <v>5</v>
      </c>
      <c r="G285" s="251">
        <v>6</v>
      </c>
      <c r="H285" s="251">
        <v>7</v>
      </c>
      <c r="I285" s="251">
        <v>8</v>
      </c>
      <c r="J285" s="251">
        <v>9</v>
      </c>
      <c r="K285" s="251">
        <v>10</v>
      </c>
      <c r="L285" s="251">
        <v>11</v>
      </c>
      <c r="M285" s="251">
        <v>12</v>
      </c>
      <c r="N285" s="251">
        <v>13</v>
      </c>
      <c r="O285" s="251">
        <v>14</v>
      </c>
      <c r="P285" s="251">
        <v>15</v>
      </c>
      <c r="Q285" s="475"/>
      <c r="AB285" s="48"/>
      <c r="AC285" s="48"/>
      <c r="AD285" s="48"/>
      <c r="AE285" s="48"/>
      <c r="AF285" s="48"/>
      <c r="AG285" s="48"/>
      <c r="AH285" s="48"/>
      <c r="AI285" s="48"/>
    </row>
    <row r="286" spans="1:35" x14ac:dyDescent="0.25">
      <c r="A286" s="400" t="s">
        <v>172</v>
      </c>
      <c r="B286" s="335">
        <f>B87</f>
        <v>0</v>
      </c>
      <c r="C286" s="335">
        <f t="shared" ref="C286:P286" si="14">C87</f>
        <v>0</v>
      </c>
      <c r="D286" s="335">
        <f t="shared" si="14"/>
        <v>0</v>
      </c>
      <c r="E286" s="335">
        <f t="shared" si="14"/>
        <v>0</v>
      </c>
      <c r="F286" s="335">
        <f t="shared" si="14"/>
        <v>0</v>
      </c>
      <c r="G286" s="335">
        <f t="shared" si="14"/>
        <v>0</v>
      </c>
      <c r="H286" s="335">
        <f t="shared" si="14"/>
        <v>0</v>
      </c>
      <c r="I286" s="335">
        <f t="shared" si="14"/>
        <v>0</v>
      </c>
      <c r="J286" s="335">
        <f t="shared" si="14"/>
        <v>0</v>
      </c>
      <c r="K286" s="335">
        <f t="shared" si="14"/>
        <v>0</v>
      </c>
      <c r="L286" s="335">
        <f t="shared" si="14"/>
        <v>0</v>
      </c>
      <c r="M286" s="335">
        <f t="shared" si="14"/>
        <v>0</v>
      </c>
      <c r="N286" s="335">
        <f t="shared" si="14"/>
        <v>0</v>
      </c>
      <c r="O286" s="335">
        <f t="shared" si="14"/>
        <v>0</v>
      </c>
      <c r="P286" s="335">
        <f t="shared" si="14"/>
        <v>0</v>
      </c>
      <c r="Q286" s="475"/>
      <c r="AB286" s="48"/>
      <c r="AC286" s="48"/>
      <c r="AD286" s="48"/>
      <c r="AE286" s="48"/>
      <c r="AF286" s="48"/>
      <c r="AG286" s="48"/>
      <c r="AH286" s="48"/>
      <c r="AI286" s="48"/>
    </row>
    <row r="287" spans="1:35" x14ac:dyDescent="0.25">
      <c r="A287" s="400" t="s">
        <v>240</v>
      </c>
      <c r="B287" s="335">
        <f>B116</f>
        <v>0</v>
      </c>
      <c r="C287" s="335">
        <f t="shared" ref="C287:P287" si="15">C116</f>
        <v>0</v>
      </c>
      <c r="D287" s="335">
        <f t="shared" si="15"/>
        <v>0</v>
      </c>
      <c r="E287" s="335">
        <f t="shared" si="15"/>
        <v>0</v>
      </c>
      <c r="F287" s="335">
        <f t="shared" si="15"/>
        <v>0</v>
      </c>
      <c r="G287" s="335">
        <f t="shared" si="15"/>
        <v>0</v>
      </c>
      <c r="H287" s="335">
        <f t="shared" si="15"/>
        <v>0</v>
      </c>
      <c r="I287" s="335">
        <f t="shared" si="15"/>
        <v>0</v>
      </c>
      <c r="J287" s="335">
        <f t="shared" si="15"/>
        <v>0</v>
      </c>
      <c r="K287" s="335">
        <f t="shared" si="15"/>
        <v>0</v>
      </c>
      <c r="L287" s="335">
        <f t="shared" si="15"/>
        <v>0</v>
      </c>
      <c r="M287" s="335">
        <f t="shared" si="15"/>
        <v>0</v>
      </c>
      <c r="N287" s="335">
        <f t="shared" si="15"/>
        <v>0</v>
      </c>
      <c r="O287" s="335">
        <f t="shared" si="15"/>
        <v>0</v>
      </c>
      <c r="P287" s="335">
        <f t="shared" si="15"/>
        <v>0</v>
      </c>
      <c r="Q287" s="475"/>
      <c r="AB287" s="48"/>
      <c r="AC287" s="48"/>
      <c r="AD287" s="48"/>
      <c r="AE287" s="48"/>
      <c r="AF287" s="48"/>
      <c r="AG287" s="48"/>
      <c r="AH287" s="48"/>
      <c r="AI287" s="48"/>
    </row>
    <row r="288" spans="1:35" x14ac:dyDescent="0.25">
      <c r="A288" s="400" t="s">
        <v>85</v>
      </c>
      <c r="B288" s="335">
        <f>B145</f>
        <v>0</v>
      </c>
      <c r="C288" s="335">
        <f t="shared" ref="C288:P288" si="16">C145</f>
        <v>0</v>
      </c>
      <c r="D288" s="335">
        <f t="shared" si="16"/>
        <v>0</v>
      </c>
      <c r="E288" s="335">
        <f t="shared" si="16"/>
        <v>0</v>
      </c>
      <c r="F288" s="335">
        <f t="shared" si="16"/>
        <v>0</v>
      </c>
      <c r="G288" s="335">
        <f t="shared" si="16"/>
        <v>0</v>
      </c>
      <c r="H288" s="335">
        <f t="shared" si="16"/>
        <v>0</v>
      </c>
      <c r="I288" s="335">
        <f t="shared" si="16"/>
        <v>0</v>
      </c>
      <c r="J288" s="335">
        <f t="shared" si="16"/>
        <v>0</v>
      </c>
      <c r="K288" s="335">
        <f t="shared" si="16"/>
        <v>0</v>
      </c>
      <c r="L288" s="335">
        <f t="shared" si="16"/>
        <v>0</v>
      </c>
      <c r="M288" s="335">
        <f t="shared" si="16"/>
        <v>0</v>
      </c>
      <c r="N288" s="335">
        <f t="shared" si="16"/>
        <v>0</v>
      </c>
      <c r="O288" s="335">
        <f t="shared" si="16"/>
        <v>0</v>
      </c>
      <c r="P288" s="335">
        <f t="shared" si="16"/>
        <v>0</v>
      </c>
      <c r="Q288" s="475"/>
      <c r="AB288" s="48"/>
      <c r="AC288" s="48"/>
      <c r="AD288" s="48"/>
      <c r="AE288" s="48"/>
      <c r="AF288" s="48"/>
      <c r="AG288" s="48"/>
      <c r="AH288" s="48"/>
      <c r="AI288" s="48"/>
    </row>
    <row r="289" spans="1:17" x14ac:dyDescent="0.25">
      <c r="A289" s="400" t="s">
        <v>176</v>
      </c>
      <c r="B289" s="335">
        <f>B174</f>
        <v>0</v>
      </c>
      <c r="C289" s="335">
        <f t="shared" ref="C289:P289" si="17">C174</f>
        <v>0</v>
      </c>
      <c r="D289" s="335">
        <f t="shared" si="17"/>
        <v>0</v>
      </c>
      <c r="E289" s="335">
        <f t="shared" si="17"/>
        <v>0</v>
      </c>
      <c r="F289" s="335">
        <f t="shared" si="17"/>
        <v>0</v>
      </c>
      <c r="G289" s="335">
        <f t="shared" si="17"/>
        <v>0</v>
      </c>
      <c r="H289" s="335">
        <f t="shared" si="17"/>
        <v>0</v>
      </c>
      <c r="I289" s="335">
        <f t="shared" si="17"/>
        <v>0</v>
      </c>
      <c r="J289" s="335">
        <f t="shared" si="17"/>
        <v>0</v>
      </c>
      <c r="K289" s="335">
        <f t="shared" si="17"/>
        <v>0</v>
      </c>
      <c r="L289" s="335">
        <f t="shared" si="17"/>
        <v>0</v>
      </c>
      <c r="M289" s="335">
        <f t="shared" si="17"/>
        <v>0</v>
      </c>
      <c r="N289" s="335">
        <f t="shared" si="17"/>
        <v>0</v>
      </c>
      <c r="O289" s="335">
        <f t="shared" si="17"/>
        <v>0</v>
      </c>
      <c r="P289" s="335">
        <f t="shared" si="17"/>
        <v>0</v>
      </c>
      <c r="Q289" s="475"/>
    </row>
    <row r="290" spans="1:17" x14ac:dyDescent="0.25">
      <c r="A290" s="400" t="s">
        <v>674</v>
      </c>
      <c r="B290" s="335">
        <f>B203</f>
        <v>0</v>
      </c>
      <c r="C290" s="335">
        <f t="shared" ref="C290:P290" si="18">C203</f>
        <v>0</v>
      </c>
      <c r="D290" s="335">
        <f t="shared" si="18"/>
        <v>0</v>
      </c>
      <c r="E290" s="335">
        <f t="shared" si="18"/>
        <v>0</v>
      </c>
      <c r="F290" s="335">
        <f t="shared" si="18"/>
        <v>0</v>
      </c>
      <c r="G290" s="335">
        <f t="shared" si="18"/>
        <v>0</v>
      </c>
      <c r="H290" s="335">
        <f t="shared" si="18"/>
        <v>0</v>
      </c>
      <c r="I290" s="335">
        <f t="shared" si="18"/>
        <v>0</v>
      </c>
      <c r="J290" s="335">
        <f t="shared" si="18"/>
        <v>0</v>
      </c>
      <c r="K290" s="335">
        <f t="shared" si="18"/>
        <v>0</v>
      </c>
      <c r="L290" s="335">
        <f t="shared" si="18"/>
        <v>0</v>
      </c>
      <c r="M290" s="335">
        <f t="shared" si="18"/>
        <v>0</v>
      </c>
      <c r="N290" s="335">
        <f t="shared" si="18"/>
        <v>0</v>
      </c>
      <c r="O290" s="335">
        <f t="shared" si="18"/>
        <v>0</v>
      </c>
      <c r="P290" s="335">
        <f t="shared" si="18"/>
        <v>0</v>
      </c>
      <c r="Q290" s="475"/>
    </row>
    <row r="291" spans="1:17" x14ac:dyDescent="0.25">
      <c r="A291" s="473"/>
      <c r="B291" s="474"/>
      <c r="C291" s="474"/>
      <c r="D291" s="474"/>
      <c r="E291" s="474"/>
      <c r="F291" s="474"/>
      <c r="G291" s="474"/>
      <c r="H291" s="474"/>
      <c r="I291" s="474"/>
      <c r="J291" s="474"/>
      <c r="K291" s="474"/>
      <c r="L291" s="474"/>
      <c r="M291" s="474"/>
      <c r="N291" s="474"/>
      <c r="O291" s="474"/>
      <c r="P291" s="474"/>
      <c r="Q291" s="475"/>
    </row>
    <row r="292" spans="1:17" x14ac:dyDescent="0.25">
      <c r="A292" s="291" t="s">
        <v>734</v>
      </c>
      <c r="B292" s="251">
        <v>1</v>
      </c>
      <c r="C292" s="251">
        <v>2</v>
      </c>
      <c r="D292" s="251">
        <v>3</v>
      </c>
      <c r="E292" s="251">
        <v>4</v>
      </c>
      <c r="F292" s="251">
        <v>5</v>
      </c>
      <c r="G292" s="251">
        <v>6</v>
      </c>
      <c r="H292" s="251">
        <v>7</v>
      </c>
      <c r="I292" s="251">
        <v>8</v>
      </c>
      <c r="J292" s="251">
        <v>9</v>
      </c>
      <c r="K292" s="251">
        <v>10</v>
      </c>
      <c r="L292" s="251">
        <v>11</v>
      </c>
      <c r="M292" s="251">
        <v>12</v>
      </c>
      <c r="N292" s="251">
        <v>13</v>
      </c>
      <c r="O292" s="251">
        <v>14</v>
      </c>
      <c r="P292" s="251">
        <v>15</v>
      </c>
      <c r="Q292" s="475"/>
    </row>
    <row r="293" spans="1:17" x14ac:dyDescent="0.25">
      <c r="A293" s="400" t="s">
        <v>172</v>
      </c>
      <c r="B293" s="335">
        <f>B88</f>
        <v>0</v>
      </c>
      <c r="C293" s="335">
        <f t="shared" ref="C293:P293" si="19">C88</f>
        <v>0</v>
      </c>
      <c r="D293" s="335">
        <f t="shared" si="19"/>
        <v>0</v>
      </c>
      <c r="E293" s="335">
        <f t="shared" si="19"/>
        <v>0</v>
      </c>
      <c r="F293" s="335">
        <f t="shared" si="19"/>
        <v>0</v>
      </c>
      <c r="G293" s="335">
        <f t="shared" si="19"/>
        <v>0</v>
      </c>
      <c r="H293" s="335">
        <f t="shared" si="19"/>
        <v>0</v>
      </c>
      <c r="I293" s="335">
        <f t="shared" si="19"/>
        <v>0</v>
      </c>
      <c r="J293" s="335">
        <f t="shared" si="19"/>
        <v>0</v>
      </c>
      <c r="K293" s="335">
        <f t="shared" si="19"/>
        <v>0</v>
      </c>
      <c r="L293" s="335">
        <f t="shared" si="19"/>
        <v>0</v>
      </c>
      <c r="M293" s="335">
        <f t="shared" si="19"/>
        <v>0</v>
      </c>
      <c r="N293" s="335">
        <f t="shared" si="19"/>
        <v>0</v>
      </c>
      <c r="O293" s="335">
        <f t="shared" si="19"/>
        <v>0</v>
      </c>
      <c r="P293" s="335">
        <f t="shared" si="19"/>
        <v>0</v>
      </c>
      <c r="Q293" s="475"/>
    </row>
    <row r="294" spans="1:17" x14ac:dyDescent="0.25">
      <c r="A294" s="400" t="s">
        <v>240</v>
      </c>
      <c r="B294" s="335">
        <f>B117</f>
        <v>0</v>
      </c>
      <c r="C294" s="335">
        <f t="shared" ref="C294:P294" si="20">C117</f>
        <v>0</v>
      </c>
      <c r="D294" s="335">
        <f t="shared" si="20"/>
        <v>0</v>
      </c>
      <c r="E294" s="335">
        <f t="shared" si="20"/>
        <v>0</v>
      </c>
      <c r="F294" s="335">
        <f t="shared" si="20"/>
        <v>0</v>
      </c>
      <c r="G294" s="335">
        <f t="shared" si="20"/>
        <v>0</v>
      </c>
      <c r="H294" s="335">
        <f t="shared" si="20"/>
        <v>0</v>
      </c>
      <c r="I294" s="335">
        <f t="shared" si="20"/>
        <v>0</v>
      </c>
      <c r="J294" s="335">
        <f t="shared" si="20"/>
        <v>0</v>
      </c>
      <c r="K294" s="335">
        <f t="shared" si="20"/>
        <v>0</v>
      </c>
      <c r="L294" s="335">
        <f t="shared" si="20"/>
        <v>0</v>
      </c>
      <c r="M294" s="335">
        <f t="shared" si="20"/>
        <v>0</v>
      </c>
      <c r="N294" s="335">
        <f t="shared" si="20"/>
        <v>0</v>
      </c>
      <c r="O294" s="335">
        <f t="shared" si="20"/>
        <v>0</v>
      </c>
      <c r="P294" s="335">
        <f t="shared" si="20"/>
        <v>0</v>
      </c>
      <c r="Q294" s="475"/>
    </row>
    <row r="295" spans="1:17" x14ac:dyDescent="0.25">
      <c r="A295" s="400" t="s">
        <v>85</v>
      </c>
      <c r="B295" s="335">
        <f>B146</f>
        <v>0</v>
      </c>
      <c r="C295" s="335">
        <f t="shared" ref="C295:P295" si="21">C146</f>
        <v>0</v>
      </c>
      <c r="D295" s="335">
        <f t="shared" si="21"/>
        <v>0</v>
      </c>
      <c r="E295" s="335">
        <f t="shared" si="21"/>
        <v>0</v>
      </c>
      <c r="F295" s="335">
        <f t="shared" si="21"/>
        <v>0</v>
      </c>
      <c r="G295" s="335">
        <f t="shared" si="21"/>
        <v>0</v>
      </c>
      <c r="H295" s="335">
        <f t="shared" si="21"/>
        <v>0</v>
      </c>
      <c r="I295" s="335">
        <f t="shared" si="21"/>
        <v>0</v>
      </c>
      <c r="J295" s="335">
        <f t="shared" si="21"/>
        <v>0</v>
      </c>
      <c r="K295" s="335">
        <f t="shared" si="21"/>
        <v>0</v>
      </c>
      <c r="L295" s="335">
        <f t="shared" si="21"/>
        <v>0</v>
      </c>
      <c r="M295" s="335">
        <f t="shared" si="21"/>
        <v>0</v>
      </c>
      <c r="N295" s="335">
        <f t="shared" si="21"/>
        <v>0</v>
      </c>
      <c r="O295" s="335">
        <f t="shared" si="21"/>
        <v>0</v>
      </c>
      <c r="P295" s="335">
        <f t="shared" si="21"/>
        <v>0</v>
      </c>
      <c r="Q295" s="475"/>
    </row>
    <row r="296" spans="1:17" x14ac:dyDescent="0.25">
      <c r="A296" s="400" t="s">
        <v>176</v>
      </c>
      <c r="B296" s="335">
        <f>B175</f>
        <v>0</v>
      </c>
      <c r="C296" s="335">
        <f t="shared" ref="C296:P296" si="22">C175</f>
        <v>0</v>
      </c>
      <c r="D296" s="335">
        <f t="shared" si="22"/>
        <v>0</v>
      </c>
      <c r="E296" s="335">
        <f t="shared" si="22"/>
        <v>0</v>
      </c>
      <c r="F296" s="335">
        <f t="shared" si="22"/>
        <v>0</v>
      </c>
      <c r="G296" s="335">
        <f t="shared" si="22"/>
        <v>0</v>
      </c>
      <c r="H296" s="335">
        <f t="shared" si="22"/>
        <v>0</v>
      </c>
      <c r="I296" s="335">
        <f t="shared" si="22"/>
        <v>0</v>
      </c>
      <c r="J296" s="335">
        <f t="shared" si="22"/>
        <v>0</v>
      </c>
      <c r="K296" s="335">
        <f t="shared" si="22"/>
        <v>0</v>
      </c>
      <c r="L296" s="335">
        <f t="shared" si="22"/>
        <v>0</v>
      </c>
      <c r="M296" s="335">
        <f t="shared" si="22"/>
        <v>0</v>
      </c>
      <c r="N296" s="335">
        <f t="shared" si="22"/>
        <v>0</v>
      </c>
      <c r="O296" s="335">
        <f t="shared" si="22"/>
        <v>0</v>
      </c>
      <c r="P296" s="335">
        <f t="shared" si="22"/>
        <v>0</v>
      </c>
      <c r="Q296" s="475"/>
    </row>
    <row r="297" spans="1:17" x14ac:dyDescent="0.25">
      <c r="A297" s="400" t="s">
        <v>674</v>
      </c>
      <c r="B297" s="335">
        <f>B204</f>
        <v>0</v>
      </c>
      <c r="C297" s="335">
        <f t="shared" ref="C297:P297" si="23">C204</f>
        <v>0</v>
      </c>
      <c r="D297" s="335">
        <f t="shared" si="23"/>
        <v>0</v>
      </c>
      <c r="E297" s="335">
        <f t="shared" si="23"/>
        <v>0</v>
      </c>
      <c r="F297" s="335">
        <f t="shared" si="23"/>
        <v>0</v>
      </c>
      <c r="G297" s="335">
        <f t="shared" si="23"/>
        <v>0</v>
      </c>
      <c r="H297" s="335">
        <f t="shared" si="23"/>
        <v>0</v>
      </c>
      <c r="I297" s="335">
        <f t="shared" si="23"/>
        <v>0</v>
      </c>
      <c r="J297" s="335">
        <f t="shared" si="23"/>
        <v>0</v>
      </c>
      <c r="K297" s="335">
        <f t="shared" si="23"/>
        <v>0</v>
      </c>
      <c r="L297" s="335">
        <f t="shared" si="23"/>
        <v>0</v>
      </c>
      <c r="M297" s="335">
        <f t="shared" si="23"/>
        <v>0</v>
      </c>
      <c r="N297" s="335">
        <f t="shared" si="23"/>
        <v>0</v>
      </c>
      <c r="O297" s="335">
        <f t="shared" si="23"/>
        <v>0</v>
      </c>
      <c r="P297" s="335">
        <f t="shared" si="23"/>
        <v>0</v>
      </c>
      <c r="Q297" s="475"/>
    </row>
    <row r="298" spans="1:17" ht="15.75" thickBot="1" x14ac:dyDescent="0.3">
      <c r="A298" s="481"/>
      <c r="B298" s="482"/>
      <c r="C298" s="482"/>
      <c r="D298" s="482"/>
      <c r="E298" s="482"/>
      <c r="F298" s="482"/>
      <c r="G298" s="482"/>
      <c r="H298" s="482"/>
      <c r="I298" s="482"/>
      <c r="J298" s="482"/>
      <c r="K298" s="482"/>
      <c r="L298" s="482"/>
      <c r="M298" s="482"/>
      <c r="N298" s="482"/>
      <c r="O298" s="482"/>
      <c r="P298" s="482"/>
      <c r="Q298" s="483"/>
    </row>
    <row r="299" spans="1:17" x14ac:dyDescent="0.25">
      <c r="A299" s="48"/>
      <c r="B299" s="48"/>
      <c r="C299" s="48"/>
      <c r="D299" s="48"/>
      <c r="E299" s="48"/>
      <c r="F299" s="48"/>
      <c r="G299" s="48"/>
      <c r="H299" s="48"/>
      <c r="I299" s="48"/>
      <c r="J299" s="48"/>
      <c r="K299" s="48"/>
      <c r="L299" s="48"/>
      <c r="M299" s="48"/>
      <c r="N299" s="48"/>
      <c r="O299" s="48"/>
      <c r="P299" s="48"/>
      <c r="Q299" s="48"/>
    </row>
    <row r="300" spans="1:17" x14ac:dyDescent="0.25">
      <c r="A300" s="48"/>
      <c r="B300" s="48"/>
      <c r="C300" s="48"/>
      <c r="D300" s="48"/>
      <c r="E300" s="48"/>
      <c r="F300" s="48"/>
      <c r="G300" s="48"/>
      <c r="H300" s="48"/>
      <c r="I300" s="48"/>
      <c r="J300" s="48"/>
      <c r="K300" s="48"/>
      <c r="L300" s="48"/>
      <c r="M300" s="48"/>
      <c r="N300" s="48"/>
      <c r="O300" s="48"/>
      <c r="P300" s="48"/>
      <c r="Q300" s="48"/>
    </row>
  </sheetData>
  <sheetProtection algorithmName="SHA-512" hashValue="aWpTWdrSXQi8a28+LwbsYKuaawDpjbWhCbSAqohHkKmXs6frCgrWmut2q0lBsau/NH+6EA0CjuADsjvzZJ/pCg==" saltValue="7SIh9vg3EcjIIH06cZXPEQ==" spinCount="100000" sheet="1" selectLockedCells="1" selectUnlockedCells="1"/>
  <mergeCells count="14">
    <mergeCell ref="A3:Q3"/>
    <mergeCell ref="A1:Q1"/>
    <mergeCell ref="B270:C270"/>
    <mergeCell ref="D270:E270"/>
    <mergeCell ref="A268:Q268"/>
    <mergeCell ref="A239:Q239"/>
    <mergeCell ref="A206:P206"/>
    <mergeCell ref="A177:P177"/>
    <mergeCell ref="A210:Q210"/>
    <mergeCell ref="A32:P32"/>
    <mergeCell ref="A61:P61"/>
    <mergeCell ref="A90:P90"/>
    <mergeCell ref="A119:P119"/>
    <mergeCell ref="A148:P148"/>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BEA209-1241-4A32-A63F-19DBB857AB1C}">
  <sheetPr>
    <tabColor theme="7" tint="0.39997558519241921"/>
  </sheetPr>
  <dimension ref="A1:B62"/>
  <sheetViews>
    <sheetView showGridLines="0" zoomScaleNormal="100" workbookViewId="0"/>
  </sheetViews>
  <sheetFormatPr defaultRowHeight="15" x14ac:dyDescent="0.25"/>
  <cols>
    <col min="1" max="1" width="85.7109375" customWidth="1"/>
    <col min="2" max="2" width="9.28515625" customWidth="1"/>
  </cols>
  <sheetData>
    <row r="1" spans="1:1" ht="19.5" thickBot="1" x14ac:dyDescent="0.3">
      <c r="A1" s="254" t="s">
        <v>0</v>
      </c>
    </row>
    <row r="2" spans="1:1" ht="3.75" customHeight="1" x14ac:dyDescent="0.25">
      <c r="A2" s="255"/>
    </row>
    <row r="3" spans="1:1" ht="45" x14ac:dyDescent="0.25">
      <c r="A3" s="256" t="s">
        <v>726</v>
      </c>
    </row>
    <row r="4" spans="1:1" ht="3.75" customHeight="1" x14ac:dyDescent="0.25">
      <c r="A4" s="256"/>
    </row>
    <row r="5" spans="1:1" ht="45" x14ac:dyDescent="0.25">
      <c r="A5" s="253" t="s">
        <v>720</v>
      </c>
    </row>
    <row r="6" spans="1:1" ht="3.75" customHeight="1" x14ac:dyDescent="0.25">
      <c r="A6" s="256"/>
    </row>
    <row r="7" spans="1:1" ht="60.75" thickBot="1" x14ac:dyDescent="0.3">
      <c r="A7" s="257" t="s">
        <v>724</v>
      </c>
    </row>
    <row r="8" spans="1:1" ht="3.75" customHeight="1" thickBot="1" x14ac:dyDescent="0.3">
      <c r="A8" s="122"/>
    </row>
    <row r="9" spans="1:1" x14ac:dyDescent="0.25">
      <c r="A9" s="258" t="s">
        <v>705</v>
      </c>
    </row>
    <row r="10" spans="1:1" ht="60" x14ac:dyDescent="0.25">
      <c r="A10" s="259" t="s">
        <v>713</v>
      </c>
    </row>
    <row r="11" spans="1:1" ht="3.75" customHeight="1" x14ac:dyDescent="0.25">
      <c r="A11" s="259"/>
    </row>
    <row r="12" spans="1:1" ht="45" x14ac:dyDescent="0.25">
      <c r="A12" s="259" t="s">
        <v>710</v>
      </c>
    </row>
    <row r="13" spans="1:1" ht="3.75" customHeight="1" x14ac:dyDescent="0.25">
      <c r="A13" s="259"/>
    </row>
    <row r="14" spans="1:1" ht="60.75" thickBot="1" x14ac:dyDescent="0.3">
      <c r="A14" s="260" t="s">
        <v>712</v>
      </c>
    </row>
    <row r="15" spans="1:1" ht="3.75" customHeight="1" thickBot="1" x14ac:dyDescent="0.3">
      <c r="A15" s="122"/>
    </row>
    <row r="16" spans="1:1" x14ac:dyDescent="0.25">
      <c r="A16" s="261" t="s">
        <v>700</v>
      </c>
    </row>
    <row r="17" spans="1:2" ht="120" x14ac:dyDescent="0.25">
      <c r="A17" s="262" t="s">
        <v>714</v>
      </c>
    </row>
    <row r="18" spans="1:2" ht="3.75" customHeight="1" x14ac:dyDescent="0.25">
      <c r="A18" s="262"/>
    </row>
    <row r="19" spans="1:2" ht="60" x14ac:dyDescent="0.25">
      <c r="A19" s="262" t="s">
        <v>701</v>
      </c>
    </row>
    <row r="20" spans="1:2" ht="3.75" customHeight="1" x14ac:dyDescent="0.25">
      <c r="A20" s="262"/>
    </row>
    <row r="21" spans="1:2" ht="90" x14ac:dyDescent="0.25">
      <c r="A21" s="262" t="s">
        <v>725</v>
      </c>
    </row>
    <row r="22" spans="1:2" ht="3.75" customHeight="1" x14ac:dyDescent="0.25">
      <c r="A22" s="262"/>
    </row>
    <row r="23" spans="1:2" ht="45" x14ac:dyDescent="0.25">
      <c r="A23" s="262" t="s">
        <v>722</v>
      </c>
    </row>
    <row r="24" spans="1:2" ht="3.75" customHeight="1" x14ac:dyDescent="0.25">
      <c r="A24" s="262"/>
    </row>
    <row r="25" spans="1:2" ht="45.75" thickBot="1" x14ac:dyDescent="0.3">
      <c r="A25" s="263" t="s">
        <v>723</v>
      </c>
    </row>
    <row r="26" spans="1:2" ht="3.75" customHeight="1" thickBot="1" x14ac:dyDescent="0.3">
      <c r="A26" s="122"/>
    </row>
    <row r="27" spans="1:2" x14ac:dyDescent="0.25">
      <c r="A27" s="264" t="s">
        <v>702</v>
      </c>
    </row>
    <row r="28" spans="1:2" ht="90" x14ac:dyDescent="0.25">
      <c r="A28" s="262" t="s">
        <v>715</v>
      </c>
      <c r="B28" s="252"/>
    </row>
    <row r="29" spans="1:2" ht="3.75" customHeight="1" x14ac:dyDescent="0.25">
      <c r="A29" s="262"/>
      <c r="B29" s="252"/>
    </row>
    <row r="30" spans="1:2" ht="60" x14ac:dyDescent="0.25">
      <c r="A30" s="262" t="s">
        <v>704</v>
      </c>
    </row>
    <row r="31" spans="1:2" ht="3.75" customHeight="1" x14ac:dyDescent="0.25">
      <c r="A31" s="262"/>
    </row>
    <row r="32" spans="1:2" ht="45" x14ac:dyDescent="0.25">
      <c r="A32" s="262" t="s">
        <v>703</v>
      </c>
    </row>
    <row r="33" spans="1:2" ht="3.75" customHeight="1" x14ac:dyDescent="0.25">
      <c r="A33" s="262"/>
    </row>
    <row r="34" spans="1:2" ht="75.75" thickBot="1" x14ac:dyDescent="0.3">
      <c r="A34" s="263" t="s">
        <v>721</v>
      </c>
    </row>
    <row r="35" spans="1:2" ht="3.75" customHeight="1" thickBot="1" x14ac:dyDescent="0.3">
      <c r="A35" s="122"/>
    </row>
    <row r="36" spans="1:2" x14ac:dyDescent="0.25">
      <c r="A36" s="258" t="s">
        <v>706</v>
      </c>
    </row>
    <row r="37" spans="1:2" ht="60.75" thickBot="1" x14ac:dyDescent="0.3">
      <c r="A37" s="260" t="s">
        <v>716</v>
      </c>
    </row>
    <row r="38" spans="1:2" ht="3.75" customHeight="1" thickBot="1" x14ac:dyDescent="0.3">
      <c r="A38" s="122"/>
    </row>
    <row r="39" spans="1:2" x14ac:dyDescent="0.25">
      <c r="A39" s="265" t="s">
        <v>707</v>
      </c>
      <c r="B39" s="252"/>
    </row>
    <row r="40" spans="1:2" ht="45" x14ac:dyDescent="0.25">
      <c r="A40" s="259" t="s">
        <v>717</v>
      </c>
    </row>
    <row r="41" spans="1:2" ht="3.75" customHeight="1" x14ac:dyDescent="0.25">
      <c r="A41" s="259"/>
    </row>
    <row r="42" spans="1:2" ht="45" x14ac:dyDescent="0.25">
      <c r="A42" s="259" t="s">
        <v>708</v>
      </c>
    </row>
    <row r="43" spans="1:2" ht="3.75" customHeight="1" x14ac:dyDescent="0.25">
      <c r="A43" s="259"/>
    </row>
    <row r="44" spans="1:2" ht="120.75" thickBot="1" x14ac:dyDescent="0.3">
      <c r="A44" s="260" t="s">
        <v>711</v>
      </c>
      <c r="B44" s="252"/>
    </row>
    <row r="45" spans="1:2" ht="3.75" customHeight="1" thickBot="1" x14ac:dyDescent="0.3">
      <c r="A45" s="122"/>
    </row>
    <row r="46" spans="1:2" x14ac:dyDescent="0.25">
      <c r="A46" s="269" t="s">
        <v>748</v>
      </c>
    </row>
    <row r="47" spans="1:2" ht="120.75" thickBot="1" x14ac:dyDescent="0.3">
      <c r="A47" s="270" t="s">
        <v>729</v>
      </c>
    </row>
    <row r="48" spans="1:2" ht="3.75" customHeight="1" thickBot="1" x14ac:dyDescent="0.3">
      <c r="A48" s="122"/>
    </row>
    <row r="49" spans="1:1" x14ac:dyDescent="0.25">
      <c r="A49" s="266" t="s">
        <v>749</v>
      </c>
    </row>
    <row r="50" spans="1:1" ht="15.75" thickBot="1" x14ac:dyDescent="0.3">
      <c r="A50" s="257" t="s">
        <v>709</v>
      </c>
    </row>
    <row r="51" spans="1:1" ht="3.75" customHeight="1" thickBot="1" x14ac:dyDescent="0.3">
      <c r="A51" s="122"/>
    </row>
    <row r="52" spans="1:1" x14ac:dyDescent="0.25">
      <c r="A52" s="267" t="s">
        <v>750</v>
      </c>
    </row>
    <row r="53" spans="1:1" ht="60.75" thickBot="1" x14ac:dyDescent="0.3">
      <c r="A53" s="268" t="s">
        <v>718</v>
      </c>
    </row>
    <row r="54" spans="1:1" ht="3.75" customHeight="1" thickBot="1" x14ac:dyDescent="0.3">
      <c r="A54" s="122"/>
    </row>
    <row r="55" spans="1:1" ht="15" customHeight="1" x14ac:dyDescent="0.25">
      <c r="A55" s="629" t="s">
        <v>764</v>
      </c>
    </row>
    <row r="56" spans="1:1" ht="120" x14ac:dyDescent="0.25">
      <c r="A56" s="256" t="s">
        <v>766</v>
      </c>
    </row>
    <row r="57" spans="1:1" ht="3.75" customHeight="1" x14ac:dyDescent="0.25">
      <c r="A57" s="255"/>
    </row>
    <row r="58" spans="1:1" ht="90.75" thickBot="1" x14ac:dyDescent="0.3">
      <c r="A58" s="630" t="s">
        <v>767</v>
      </c>
    </row>
    <row r="59" spans="1:1" ht="3.75" customHeight="1" thickBot="1" x14ac:dyDescent="0.3">
      <c r="A59" s="122"/>
    </row>
    <row r="60" spans="1:1" x14ac:dyDescent="0.25">
      <c r="A60" s="265" t="s">
        <v>765</v>
      </c>
    </row>
    <row r="61" spans="1:1" ht="75.75" thickBot="1" x14ac:dyDescent="0.3">
      <c r="A61" s="260" t="s">
        <v>719</v>
      </c>
    </row>
    <row r="62" spans="1:1" ht="3.75" customHeight="1" x14ac:dyDescent="0.25"/>
  </sheetData>
  <sheetProtection algorithmName="SHA-512" hashValue="YvolCIxA1DwpbfVe5th8O6S/IPLjt3NG9Cul7wF/txTiw5z2Vs+v32IaulHLO+mJ7rvyK9WMV+WDdnbwBGc/Dg==" saltValue="0rRHMi8DzIQEGJiNJWPvfQ==" spinCount="100000" sheet="1" objects="1" scenarios="1"/>
  <pageMargins left="0.7" right="0.7" top="0.75" bottom="0.75" header="0.3" footer="0.3"/>
  <pageSetup orientation="portrait" horizontalDpi="4294967293"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542708"/>
  </sheetPr>
  <dimension ref="A1:AA330"/>
  <sheetViews>
    <sheetView showGridLines="0" zoomScaleNormal="100" workbookViewId="0">
      <selection activeCell="F4" sqref="F4:J4"/>
    </sheetView>
  </sheetViews>
  <sheetFormatPr defaultRowHeight="15" x14ac:dyDescent="0.25"/>
  <cols>
    <col min="1" max="1" width="6" customWidth="1"/>
    <col min="2" max="2" width="5.28515625" customWidth="1"/>
    <col min="3" max="3" width="0.7109375" customWidth="1"/>
    <col min="4" max="7" width="6" customWidth="1"/>
    <col min="8" max="8" width="0.7109375" customWidth="1"/>
    <col min="9" max="9" width="5.28515625" customWidth="1"/>
    <col min="10" max="14" width="6" customWidth="1"/>
    <col min="15" max="15" width="4.5703125" customWidth="1"/>
    <col min="16" max="16" width="7.42578125" customWidth="1"/>
    <col min="17" max="18" width="6" customWidth="1"/>
  </cols>
  <sheetData>
    <row r="1" spans="1:27" ht="18.75" customHeight="1" thickBot="1" x14ac:dyDescent="0.35">
      <c r="A1" s="746" t="s">
        <v>1</v>
      </c>
      <c r="B1" s="747"/>
      <c r="C1" s="747"/>
      <c r="D1" s="747"/>
      <c r="E1" s="747"/>
      <c r="F1" s="747"/>
      <c r="G1" s="747"/>
      <c r="H1" s="747"/>
      <c r="I1" s="747"/>
      <c r="J1" s="747"/>
      <c r="K1" s="747"/>
      <c r="L1" s="747"/>
      <c r="M1" s="747"/>
      <c r="N1" s="747"/>
      <c r="O1" s="747"/>
      <c r="P1" s="747"/>
      <c r="Q1" s="748"/>
      <c r="R1" s="543"/>
      <c r="S1" s="543"/>
      <c r="T1" s="543"/>
      <c r="U1" s="543"/>
      <c r="V1" s="543"/>
      <c r="W1" s="543"/>
      <c r="X1" s="543"/>
      <c r="Y1" s="543"/>
      <c r="Z1" s="543"/>
      <c r="AA1" s="543"/>
    </row>
    <row r="2" spans="1:27" ht="3.75" customHeight="1" thickBot="1" x14ac:dyDescent="0.4">
      <c r="A2" s="755"/>
      <c r="B2" s="755"/>
      <c r="C2" s="755"/>
      <c r="D2" s="755"/>
      <c r="E2" s="755"/>
      <c r="F2" s="755"/>
      <c r="G2" s="755"/>
      <c r="H2" s="755"/>
      <c r="I2" s="755"/>
      <c r="J2" s="755"/>
      <c r="K2" s="755"/>
      <c r="L2" s="755"/>
      <c r="M2" s="755"/>
      <c r="N2" s="755"/>
      <c r="O2" s="755"/>
      <c r="P2" s="755"/>
      <c r="Q2" s="755"/>
      <c r="R2" s="543"/>
      <c r="S2" s="543"/>
      <c r="T2" s="543"/>
      <c r="U2" s="543"/>
      <c r="V2" s="543"/>
      <c r="W2" s="543"/>
      <c r="X2" s="543"/>
      <c r="Y2" s="543"/>
      <c r="Z2" s="543"/>
      <c r="AA2" s="543"/>
    </row>
    <row r="3" spans="1:27" ht="14.25" customHeight="1" thickBot="1" x14ac:dyDescent="0.3">
      <c r="A3" s="749" t="s">
        <v>2</v>
      </c>
      <c r="B3" s="750"/>
      <c r="C3" s="716"/>
      <c r="D3" s="669" t="s">
        <v>3</v>
      </c>
      <c r="E3" s="670"/>
      <c r="F3" s="670"/>
      <c r="G3" s="670"/>
      <c r="H3" s="670"/>
      <c r="I3" s="670"/>
      <c r="J3" s="670"/>
      <c r="K3" s="670"/>
      <c r="L3" s="670"/>
      <c r="M3" s="670"/>
      <c r="N3" s="670"/>
      <c r="O3" s="670"/>
      <c r="P3" s="670"/>
      <c r="Q3" s="671"/>
      <c r="R3" s="543"/>
      <c r="S3" s="543"/>
      <c r="T3" s="543"/>
      <c r="U3" s="543"/>
      <c r="V3" s="543"/>
      <c r="W3" s="543"/>
      <c r="X3" s="543"/>
      <c r="Y3" s="543"/>
      <c r="Z3" s="543"/>
      <c r="AA3" s="543"/>
    </row>
    <row r="4" spans="1:27" ht="12.75" customHeight="1" x14ac:dyDescent="0.25">
      <c r="A4" s="36" t="s">
        <v>4</v>
      </c>
      <c r="B4" s="75">
        <f>total_iq</f>
        <v>0</v>
      </c>
      <c r="C4" s="716"/>
      <c r="D4" s="751" t="s">
        <v>5</v>
      </c>
      <c r="E4" s="752"/>
      <c r="F4" s="717"/>
      <c r="G4" s="717"/>
      <c r="H4" s="717"/>
      <c r="I4" s="717"/>
      <c r="J4" s="717"/>
      <c r="K4" s="752" t="s">
        <v>6</v>
      </c>
      <c r="L4" s="752"/>
      <c r="M4" s="752"/>
      <c r="N4" s="717"/>
      <c r="O4" s="717"/>
      <c r="P4" s="717"/>
      <c r="Q4" s="718"/>
      <c r="R4" s="543"/>
      <c r="S4" s="543"/>
      <c r="T4" s="543"/>
      <c r="U4" s="543"/>
      <c r="V4" s="543"/>
      <c r="W4" s="543"/>
      <c r="X4" s="543"/>
      <c r="Y4" s="543"/>
      <c r="Z4" s="543"/>
      <c r="AA4" s="543"/>
    </row>
    <row r="5" spans="1:27" ht="12.75" customHeight="1" x14ac:dyDescent="0.25">
      <c r="A5" s="37" t="s">
        <v>7</v>
      </c>
      <c r="B5" s="76">
        <f>total_me</f>
        <v>0</v>
      </c>
      <c r="C5" s="716"/>
      <c r="D5" s="719" t="s">
        <v>8</v>
      </c>
      <c r="E5" s="701"/>
      <c r="F5" s="753"/>
      <c r="G5" s="674"/>
      <c r="H5" s="694" t="s">
        <v>9</v>
      </c>
      <c r="I5" s="695"/>
      <c r="J5" s="78" t="str">
        <f>IF(hf="", "", hf)</f>
        <v/>
      </c>
      <c r="K5" s="701" t="s">
        <v>10</v>
      </c>
      <c r="L5" s="701"/>
      <c r="M5" s="701"/>
      <c r="N5" s="638"/>
      <c r="O5" s="638"/>
      <c r="P5" s="638"/>
      <c r="Q5" s="708"/>
      <c r="R5" s="543"/>
      <c r="S5" s="543"/>
      <c r="T5" s="543"/>
      <c r="U5" s="543"/>
      <c r="V5" s="543"/>
      <c r="W5" s="543"/>
      <c r="X5" s="543"/>
      <c r="Y5" s="543"/>
      <c r="Z5" s="543"/>
      <c r="AA5" s="543"/>
    </row>
    <row r="6" spans="1:27" ht="12.75" customHeight="1" x14ac:dyDescent="0.25">
      <c r="A6" s="37" t="s">
        <v>11</v>
      </c>
      <c r="B6" s="76">
        <f>total_ma</f>
        <v>0</v>
      </c>
      <c r="C6" s="716"/>
      <c r="D6" s="719" t="s">
        <v>19</v>
      </c>
      <c r="E6" s="701"/>
      <c r="F6" s="685" t="str">
        <f>alignments</f>
        <v>Not Selected</v>
      </c>
      <c r="G6" s="649"/>
      <c r="H6" s="694" t="s">
        <v>20</v>
      </c>
      <c r="I6" s="695"/>
      <c r="J6" s="78">
        <f>total_ppe</f>
        <v>0</v>
      </c>
      <c r="K6" s="701" t="s">
        <v>13</v>
      </c>
      <c r="L6" s="701"/>
      <c r="M6" s="701"/>
      <c r="N6" s="638"/>
      <c r="O6" s="638"/>
      <c r="P6" s="638"/>
      <c r="Q6" s="708"/>
      <c r="R6" s="543"/>
      <c r="S6" s="543"/>
      <c r="T6" s="543"/>
      <c r="U6" s="543"/>
      <c r="V6" s="543"/>
      <c r="W6" s="543"/>
      <c r="X6" s="543"/>
      <c r="Y6" s="543"/>
      <c r="Z6" s="543"/>
      <c r="AA6" s="543"/>
    </row>
    <row r="7" spans="1:27" ht="12.75" customHeight="1" x14ac:dyDescent="0.25">
      <c r="A7" s="37" t="s">
        <v>14</v>
      </c>
      <c r="B7" s="76">
        <f>total_ps</f>
        <v>0</v>
      </c>
      <c r="C7" s="716"/>
      <c r="D7" s="719" t="s">
        <v>12</v>
      </c>
      <c r="E7" s="701"/>
      <c r="F7" s="754" t="str">
        <f>occ</f>
        <v>Not Selected</v>
      </c>
      <c r="G7" s="754"/>
      <c r="H7" s="754"/>
      <c r="I7" s="754"/>
      <c r="J7" s="754"/>
      <c r="K7" s="694" t="s">
        <v>17</v>
      </c>
      <c r="L7" s="699"/>
      <c r="M7" s="695"/>
      <c r="N7" s="638"/>
      <c r="O7" s="638"/>
      <c r="P7" s="638"/>
      <c r="Q7" s="708"/>
      <c r="R7" s="543"/>
      <c r="S7" s="543"/>
      <c r="T7" s="543"/>
      <c r="U7" s="543"/>
      <c r="V7" s="543"/>
      <c r="W7" s="543"/>
      <c r="X7" s="543"/>
      <c r="Y7" s="543"/>
      <c r="Z7" s="543"/>
      <c r="AA7" s="543"/>
    </row>
    <row r="8" spans="1:27" ht="12.75" customHeight="1" x14ac:dyDescent="0.25">
      <c r="A8" s="37" t="s">
        <v>18</v>
      </c>
      <c r="B8" s="76">
        <f>total_pp</f>
        <v>0</v>
      </c>
      <c r="C8" s="716"/>
      <c r="D8" s="719" t="s">
        <v>15</v>
      </c>
      <c r="E8" s="701"/>
      <c r="F8" s="753">
        <f>0</f>
        <v>0</v>
      </c>
      <c r="G8" s="674"/>
      <c r="H8" s="694" t="s">
        <v>16</v>
      </c>
      <c r="I8" s="695"/>
      <c r="J8" s="78">
        <f>calc_lev</f>
        <v>1</v>
      </c>
      <c r="K8" s="694" t="s">
        <v>21</v>
      </c>
      <c r="L8" s="699"/>
      <c r="M8" s="695"/>
      <c r="N8" s="638"/>
      <c r="O8" s="638"/>
      <c r="P8" s="638"/>
      <c r="Q8" s="708"/>
      <c r="R8" s="543"/>
      <c r="S8" s="543"/>
      <c r="T8" s="543"/>
      <c r="U8" s="543"/>
      <c r="V8" s="543"/>
      <c r="W8" s="543"/>
      <c r="X8" s="543"/>
      <c r="Y8" s="543"/>
      <c r="Z8" s="543"/>
      <c r="AA8" s="543"/>
    </row>
    <row r="9" spans="1:27" ht="12.75" customHeight="1" x14ac:dyDescent="0.25">
      <c r="A9" s="37" t="s">
        <v>22</v>
      </c>
      <c r="B9" s="76">
        <f>total_pe</f>
        <v>0</v>
      </c>
      <c r="C9" s="716"/>
      <c r="D9" s="726" t="s">
        <v>23</v>
      </c>
      <c r="E9" s="707"/>
      <c r="F9" s="713"/>
      <c r="G9" s="713"/>
      <c r="H9" s="696" t="s">
        <v>24</v>
      </c>
      <c r="I9" s="697"/>
      <c r="J9" s="698"/>
      <c r="K9" s="713"/>
      <c r="L9" s="713"/>
      <c r="M9" s="707" t="s">
        <v>699</v>
      </c>
      <c r="N9" s="707"/>
      <c r="O9" s="707"/>
      <c r="P9" s="638"/>
      <c r="Q9" s="708"/>
      <c r="R9" s="543"/>
      <c r="S9" s="543"/>
      <c r="T9" s="543"/>
      <c r="U9" s="543"/>
      <c r="V9" s="543"/>
      <c r="W9" s="543"/>
      <c r="X9" s="543"/>
      <c r="Y9" s="543"/>
      <c r="Z9" s="543"/>
      <c r="AA9" s="543"/>
    </row>
    <row r="10" spans="1:27" ht="12.75" customHeight="1" x14ac:dyDescent="0.25">
      <c r="A10" s="37" t="s">
        <v>25</v>
      </c>
      <c r="B10" s="76">
        <f>total_pb</f>
        <v>0</v>
      </c>
      <c r="C10" s="716"/>
      <c r="D10" s="719" t="s">
        <v>26</v>
      </c>
      <c r="E10" s="701"/>
      <c r="F10" s="638"/>
      <c r="G10" s="638"/>
      <c r="H10" s="694" t="s">
        <v>27</v>
      </c>
      <c r="I10" s="699"/>
      <c r="J10" s="695"/>
      <c r="K10" s="638"/>
      <c r="L10" s="638"/>
      <c r="M10" s="752" t="s">
        <v>28</v>
      </c>
      <c r="N10" s="752"/>
      <c r="O10" s="752"/>
      <c r="P10" s="638"/>
      <c r="Q10" s="708"/>
      <c r="R10" s="543"/>
      <c r="S10" s="543"/>
      <c r="T10" s="543"/>
      <c r="U10" s="543"/>
      <c r="V10" s="543"/>
      <c r="W10" s="543"/>
      <c r="X10" s="543"/>
      <c r="Y10" s="543"/>
      <c r="Z10" s="543"/>
      <c r="AA10" s="543"/>
    </row>
    <row r="11" spans="1:27" ht="12.75" customHeight="1" thickBot="1" x14ac:dyDescent="0.3">
      <c r="A11" s="45" t="s">
        <v>29</v>
      </c>
      <c r="B11" s="77">
        <f>total_spd</f>
        <v>0</v>
      </c>
      <c r="C11" s="716"/>
      <c r="D11" s="727" t="s">
        <v>30</v>
      </c>
      <c r="E11" s="715"/>
      <c r="F11" s="714"/>
      <c r="G11" s="714"/>
      <c r="H11" s="665" t="s">
        <v>31</v>
      </c>
      <c r="I11" s="700"/>
      <c r="J11" s="666"/>
      <c r="K11" s="714"/>
      <c r="L11" s="714"/>
      <c r="M11" s="715" t="s">
        <v>32</v>
      </c>
      <c r="N11" s="715"/>
      <c r="O11" s="715"/>
      <c r="P11" s="705"/>
      <c r="Q11" s="706"/>
      <c r="R11" s="543"/>
      <c r="S11" s="543"/>
      <c r="T11" s="543"/>
      <c r="U11" s="543"/>
      <c r="V11" s="543"/>
      <c r="W11" s="543"/>
      <c r="X11" s="543"/>
      <c r="Y11" s="543"/>
      <c r="Z11" s="543"/>
      <c r="AA11" s="543"/>
    </row>
    <row r="12" spans="1:27" ht="3.75" customHeight="1" thickBot="1" x14ac:dyDescent="0.3">
      <c r="A12" s="639"/>
      <c r="B12" s="639"/>
      <c r="C12" s="639"/>
      <c r="D12" s="639"/>
      <c r="E12" s="639"/>
      <c r="F12" s="639"/>
      <c r="G12" s="639"/>
      <c r="H12" s="639"/>
      <c r="I12" s="639"/>
      <c r="J12" s="639"/>
      <c r="K12" s="639"/>
      <c r="L12" s="639"/>
      <c r="M12" s="639"/>
      <c r="N12" s="639"/>
      <c r="O12" s="639"/>
      <c r="P12" s="639"/>
      <c r="Q12" s="639"/>
      <c r="R12" s="543"/>
      <c r="S12" s="543"/>
      <c r="T12" s="543"/>
      <c r="U12" s="543"/>
      <c r="V12" s="543"/>
      <c r="W12" s="543"/>
      <c r="X12" s="543"/>
      <c r="Y12" s="543"/>
      <c r="Z12" s="543"/>
      <c r="AA12" s="543"/>
    </row>
    <row r="13" spans="1:27" ht="14.25" customHeight="1" thickBot="1" x14ac:dyDescent="0.3">
      <c r="A13" s="730" t="s">
        <v>33</v>
      </c>
      <c r="B13" s="731"/>
      <c r="C13" s="731"/>
      <c r="D13" s="731"/>
      <c r="E13" s="731"/>
      <c r="F13" s="731"/>
      <c r="G13" s="731"/>
      <c r="H13" s="731"/>
      <c r="I13" s="731"/>
      <c r="J13" s="731"/>
      <c r="K13" s="731"/>
      <c r="L13" s="731"/>
      <c r="M13" s="731"/>
      <c r="N13" s="731"/>
      <c r="O13" s="731"/>
      <c r="P13" s="731"/>
      <c r="Q13" s="732"/>
      <c r="R13" s="543"/>
      <c r="S13" s="543"/>
      <c r="T13" s="543"/>
      <c r="U13" s="543"/>
      <c r="V13" s="543"/>
      <c r="W13" s="543"/>
      <c r="X13" s="543"/>
      <c r="Y13" s="543"/>
      <c r="Z13" s="543"/>
      <c r="AA13" s="543"/>
    </row>
    <row r="14" spans="1:27" ht="12.75" customHeight="1" x14ac:dyDescent="0.25">
      <c r="A14" s="40" t="s">
        <v>34</v>
      </c>
      <c r="B14" s="720">
        <f>VLOOKUP(ps_type, Worktable!M7:N9, 2, FALSE)</f>
        <v>0</v>
      </c>
      <c r="C14" s="721"/>
      <c r="D14" s="41" t="s">
        <v>35</v>
      </c>
      <c r="E14" s="82">
        <f>B14*2</f>
        <v>0</v>
      </c>
      <c r="F14" s="79" t="s">
        <v>36</v>
      </c>
      <c r="G14" s="733" t="s">
        <v>37</v>
      </c>
      <c r="H14" s="736"/>
      <c r="I14" s="734"/>
      <c r="J14" s="734"/>
      <c r="K14" s="734"/>
      <c r="L14" s="83">
        <f>B11</f>
        <v>0</v>
      </c>
      <c r="M14" s="733" t="s">
        <v>38</v>
      </c>
      <c r="N14" s="734"/>
      <c r="O14" s="734"/>
      <c r="P14" s="734"/>
      <c r="Q14" s="83">
        <f>Q15*40%</f>
        <v>0</v>
      </c>
      <c r="R14" s="543"/>
      <c r="S14" s="543"/>
      <c r="T14" s="543"/>
      <c r="U14" s="543"/>
      <c r="V14" s="543"/>
      <c r="W14" s="543"/>
      <c r="X14" s="543"/>
      <c r="Y14" s="543"/>
      <c r="Z14" s="543"/>
      <c r="AA14" s="543"/>
    </row>
    <row r="15" spans="1:27" ht="12.75" customHeight="1" x14ac:dyDescent="0.25">
      <c r="A15" s="719" t="s">
        <v>39</v>
      </c>
      <c r="B15" s="701"/>
      <c r="C15" s="701"/>
      <c r="D15" s="701"/>
      <c r="E15" s="701"/>
      <c r="F15" s="80">
        <f>F16*2</f>
        <v>0</v>
      </c>
      <c r="G15" s="724" t="s">
        <v>40</v>
      </c>
      <c r="H15" s="729"/>
      <c r="I15" s="725"/>
      <c r="J15" s="725"/>
      <c r="K15" s="725"/>
      <c r="L15" s="80">
        <f>B11*5</f>
        <v>0</v>
      </c>
      <c r="M15" s="735" t="s">
        <v>41</v>
      </c>
      <c r="N15" s="725"/>
      <c r="O15" s="725"/>
      <c r="P15" s="725"/>
      <c r="Q15" s="80">
        <f>B7/2</f>
        <v>0</v>
      </c>
      <c r="R15" s="543"/>
      <c r="S15" s="543"/>
      <c r="T15" s="543"/>
      <c r="U15" s="543"/>
      <c r="V15" s="543"/>
      <c r="W15" s="543"/>
      <c r="X15" s="543"/>
      <c r="Y15" s="543"/>
      <c r="Z15" s="543"/>
      <c r="AA15" s="543"/>
    </row>
    <row r="16" spans="1:27" ht="12.75" customHeight="1" x14ac:dyDescent="0.25">
      <c r="A16" s="726" t="s">
        <v>42</v>
      </c>
      <c r="B16" s="701"/>
      <c r="C16" s="701"/>
      <c r="D16" s="701"/>
      <c r="E16" s="701"/>
      <c r="F16" s="80">
        <f>IF(total_pe&gt;29, total_pe*2, total_pe)</f>
        <v>0</v>
      </c>
      <c r="G16" s="724" t="s">
        <v>43</v>
      </c>
      <c r="H16" s="728"/>
      <c r="I16" s="728"/>
      <c r="J16" s="728"/>
      <c r="K16" s="729"/>
      <c r="L16" s="80">
        <f>B11*20</f>
        <v>0</v>
      </c>
      <c r="M16" s="724" t="s">
        <v>44</v>
      </c>
      <c r="N16" s="725"/>
      <c r="O16" s="725"/>
      <c r="P16" s="725"/>
      <c r="Q16" s="80">
        <f>Q17*40%</f>
        <v>0</v>
      </c>
      <c r="R16" s="543"/>
      <c r="S16" s="543"/>
      <c r="T16" s="543"/>
      <c r="U16" s="543"/>
      <c r="V16" s="543"/>
      <c r="W16" s="543"/>
      <c r="X16" s="543"/>
      <c r="Y16" s="543"/>
      <c r="Z16" s="543"/>
      <c r="AA16" s="543"/>
    </row>
    <row r="17" spans="1:27" ht="12.75" customHeight="1" thickBot="1" x14ac:dyDescent="0.3">
      <c r="A17" s="724" t="s">
        <v>45</v>
      </c>
      <c r="B17" s="725"/>
      <c r="C17" s="725"/>
      <c r="D17" s="725"/>
      <c r="E17" s="725"/>
      <c r="F17" s="80">
        <f>VLOOKUP(ps_type, Worktable!M11:N13, 2, FALSE)</f>
        <v>50</v>
      </c>
      <c r="G17" s="724" t="s">
        <v>46</v>
      </c>
      <c r="H17" s="729"/>
      <c r="I17" s="725"/>
      <c r="J17" s="725"/>
      <c r="K17" s="725"/>
      <c r="L17" s="80">
        <f>ROUND((B11*3600)/5280, 1)</f>
        <v>0</v>
      </c>
      <c r="M17" s="738" t="s">
        <v>47</v>
      </c>
      <c r="N17" s="677"/>
      <c r="O17" s="677"/>
      <c r="P17" s="677"/>
      <c r="Q17" s="85">
        <f>Q15/2</f>
        <v>0</v>
      </c>
      <c r="R17" s="543"/>
      <c r="S17" s="543"/>
      <c r="T17" s="543"/>
      <c r="U17" s="543"/>
      <c r="V17" s="543"/>
      <c r="W17" s="543"/>
      <c r="X17" s="543"/>
      <c r="Y17" s="543"/>
      <c r="Z17" s="543"/>
      <c r="AA17" s="543"/>
    </row>
    <row r="18" spans="1:27" ht="12.75" customHeight="1" x14ac:dyDescent="0.25">
      <c r="A18" s="724" t="s">
        <v>48</v>
      </c>
      <c r="B18" s="725"/>
      <c r="C18" s="725"/>
      <c r="D18" s="725"/>
      <c r="E18" s="725"/>
      <c r="F18" s="80">
        <f>VLOOKUP(ps_type, Worktable!M15:N17, 2, FALSE)</f>
        <v>25</v>
      </c>
      <c r="G18" s="739" t="s">
        <v>49</v>
      </c>
      <c r="H18" s="740"/>
      <c r="I18" s="741"/>
      <c r="J18" s="741"/>
      <c r="K18" s="741"/>
      <c r="L18" s="80">
        <f>ROUND(L19/3, 1)</f>
        <v>0</v>
      </c>
      <c r="M18" s="779" t="s">
        <v>50</v>
      </c>
      <c r="N18" s="635"/>
      <c r="O18" s="635"/>
      <c r="P18" s="636"/>
      <c r="Q18" s="86" t="str">
        <f>Worktable!K4&amp;" "&amp;percent</f>
        <v>0 %</v>
      </c>
      <c r="R18" s="543"/>
      <c r="S18" s="543"/>
      <c r="T18" s="543"/>
      <c r="U18" s="543"/>
      <c r="V18" s="543"/>
      <c r="W18" s="543"/>
      <c r="X18" s="543"/>
      <c r="Y18" s="543"/>
      <c r="Z18" s="543"/>
      <c r="AA18" s="543"/>
    </row>
    <row r="19" spans="1:27" ht="12.75" customHeight="1" thickBot="1" x14ac:dyDescent="0.3">
      <c r="A19" s="722" t="s">
        <v>51</v>
      </c>
      <c r="B19" s="723"/>
      <c r="C19" s="723"/>
      <c r="D19" s="723"/>
      <c r="E19" s="723"/>
      <c r="F19" s="81">
        <f>ROUND(VLOOKUP(ps_type, Worktable!M19:N21, 2, FALSE), 1)</f>
        <v>0</v>
      </c>
      <c r="G19" s="727" t="s">
        <v>52</v>
      </c>
      <c r="H19" s="742"/>
      <c r="I19" s="715"/>
      <c r="J19" s="715"/>
      <c r="K19" s="715"/>
      <c r="L19" s="84">
        <f>IF(total_pe&gt;29, total_pe, total_pe/2)</f>
        <v>0</v>
      </c>
      <c r="M19" s="771" t="s">
        <v>53</v>
      </c>
      <c r="N19" s="700"/>
      <c r="O19" s="700"/>
      <c r="P19" s="666"/>
      <c r="Q19" s="84" t="str">
        <f>Worktable!K8&amp;" "&amp;percent</f>
        <v>0 %</v>
      </c>
      <c r="R19" s="543"/>
      <c r="S19" s="543"/>
      <c r="T19" s="543"/>
      <c r="U19" s="543"/>
      <c r="V19" s="543"/>
      <c r="W19" s="543"/>
      <c r="X19" s="543"/>
      <c r="Y19" s="543"/>
      <c r="Z19" s="543"/>
      <c r="AA19" s="543"/>
    </row>
    <row r="20" spans="1:27" ht="3.75" customHeight="1" thickBot="1" x14ac:dyDescent="0.3">
      <c r="A20" s="681"/>
      <c r="B20" s="681"/>
      <c r="C20" s="681"/>
      <c r="D20" s="681"/>
      <c r="E20" s="681"/>
      <c r="F20" s="681"/>
      <c r="G20" s="681"/>
      <c r="H20" s="681"/>
      <c r="I20" s="681"/>
      <c r="J20" s="681"/>
      <c r="K20" s="681"/>
      <c r="L20" s="681"/>
      <c r="M20" s="681"/>
      <c r="N20" s="681"/>
      <c r="O20" s="681"/>
      <c r="P20" s="681"/>
      <c r="Q20" s="681"/>
      <c r="R20" s="543"/>
      <c r="S20" s="543"/>
      <c r="T20" s="543"/>
      <c r="U20" s="543"/>
      <c r="V20" s="543"/>
      <c r="W20" s="543"/>
      <c r="X20" s="543"/>
      <c r="Y20" s="543"/>
      <c r="Z20" s="543"/>
      <c r="AA20" s="543"/>
    </row>
    <row r="21" spans="1:27" ht="14.25" customHeight="1" thickBot="1" x14ac:dyDescent="0.3">
      <c r="A21" s="669" t="s">
        <v>54</v>
      </c>
      <c r="B21" s="670"/>
      <c r="C21" s="670"/>
      <c r="D21" s="670"/>
      <c r="E21" s="670"/>
      <c r="F21" s="670"/>
      <c r="G21" s="670"/>
      <c r="H21" s="670"/>
      <c r="I21" s="670"/>
      <c r="J21" s="670"/>
      <c r="K21" s="670"/>
      <c r="L21" s="670"/>
      <c r="M21" s="670"/>
      <c r="N21" s="670"/>
      <c r="O21" s="670"/>
      <c r="P21" s="670"/>
      <c r="Q21" s="671"/>
      <c r="R21" s="543"/>
      <c r="S21" s="543"/>
      <c r="T21" s="543"/>
      <c r="U21" s="543"/>
      <c r="V21" s="543"/>
      <c r="W21" s="543"/>
      <c r="X21" s="543"/>
      <c r="Y21" s="543"/>
      <c r="Z21" s="543"/>
      <c r="AA21" s="543"/>
    </row>
    <row r="22" spans="1:27" ht="12.75" customHeight="1" x14ac:dyDescent="0.25">
      <c r="A22" s="743" t="s">
        <v>55</v>
      </c>
      <c r="B22" s="744"/>
      <c r="C22" s="744"/>
      <c r="D22" s="744"/>
      <c r="E22" s="745"/>
      <c r="F22" s="11" t="s">
        <v>56</v>
      </c>
      <c r="G22" s="744" t="s">
        <v>55</v>
      </c>
      <c r="H22" s="744"/>
      <c r="I22" s="744"/>
      <c r="J22" s="744"/>
      <c r="K22" s="745"/>
      <c r="L22" s="11" t="s">
        <v>56</v>
      </c>
      <c r="M22" s="711" t="s">
        <v>55</v>
      </c>
      <c r="N22" s="712"/>
      <c r="O22" s="712"/>
      <c r="P22" s="712"/>
      <c r="Q22" s="11" t="s">
        <v>56</v>
      </c>
      <c r="R22" s="543"/>
      <c r="S22" s="543"/>
      <c r="T22" s="543"/>
      <c r="U22" s="543"/>
      <c r="V22" s="543"/>
      <c r="W22" s="543"/>
      <c r="X22" s="543"/>
      <c r="Y22" s="543"/>
      <c r="Z22" s="543"/>
      <c r="AA22" s="543"/>
    </row>
    <row r="23" spans="1:27" ht="12.75" customHeight="1" x14ac:dyDescent="0.25">
      <c r="A23" s="709" t="str">
        <f>IF('Skills Worktable'!C2="", "", 'Skills Worktable'!C2)</f>
        <v/>
      </c>
      <c r="B23" s="710"/>
      <c r="C23" s="710"/>
      <c r="D23" s="710"/>
      <c r="E23" s="710"/>
      <c r="F23" s="295" t="str">
        <f>IF('Skills Worktable'!O2="", "", IF('Skills Worktable'!O2&gt;98, 98, 'Skills Worktable'!O2)&amp;" "&amp;percent)</f>
        <v/>
      </c>
      <c r="G23" s="737" t="str">
        <f>IF('Skills Worktable'!C17="", "", 'Skills Worktable'!C17)</f>
        <v/>
      </c>
      <c r="H23" s="737"/>
      <c r="I23" s="737"/>
      <c r="J23" s="737"/>
      <c r="K23" s="662"/>
      <c r="L23" s="295" t="str">
        <f>IF('Skills Worktable'!O17="", "", IF('Skills Worktable'!O17&gt;98, 98, 'Skills Worktable'!O17)&amp;" "&amp;percent)</f>
        <v/>
      </c>
      <c r="M23" s="709" t="str">
        <f>IF('Skills Worktable'!C32="", "", 'Skills Worktable'!C32)</f>
        <v/>
      </c>
      <c r="N23" s="710"/>
      <c r="O23" s="710"/>
      <c r="P23" s="710"/>
      <c r="Q23" s="295" t="str">
        <f>IF('Skills Worktable'!O32="", "", IF('Skills Worktable'!O32&gt;98, 98, 'Skills Worktable'!O32)&amp;" "&amp;percent)</f>
        <v/>
      </c>
      <c r="R23" s="543"/>
      <c r="S23" s="543"/>
      <c r="T23" s="543"/>
      <c r="U23" s="543"/>
      <c r="V23" s="543"/>
      <c r="W23" s="543"/>
      <c r="X23" s="543"/>
      <c r="Y23" s="543"/>
      <c r="Z23" s="543"/>
      <c r="AA23" s="543"/>
    </row>
    <row r="24" spans="1:27" ht="12.75" customHeight="1" x14ac:dyDescent="0.25">
      <c r="A24" s="709" t="str">
        <f>IF('Skills Worktable'!C3="", "", 'Skills Worktable'!C3)</f>
        <v/>
      </c>
      <c r="B24" s="710"/>
      <c r="C24" s="710"/>
      <c r="D24" s="710"/>
      <c r="E24" s="710"/>
      <c r="F24" s="295" t="str">
        <f>IF('Skills Worktable'!O3="", "", IF('Skills Worktable'!O3&gt;98, 98, 'Skills Worktable'!O3)&amp;" "&amp;percent)</f>
        <v/>
      </c>
      <c r="G24" s="737" t="str">
        <f>IF('Skills Worktable'!C18="", "", 'Skills Worktable'!C18)</f>
        <v/>
      </c>
      <c r="H24" s="737"/>
      <c r="I24" s="737"/>
      <c r="J24" s="737"/>
      <c r="K24" s="662"/>
      <c r="L24" s="295" t="str">
        <f>IF('Skills Worktable'!O18="", "", IF('Skills Worktable'!O18&gt;98, 98, 'Skills Worktable'!O18)&amp;" "&amp;percent)</f>
        <v/>
      </c>
      <c r="M24" s="709" t="str">
        <f>IF('Skills Worktable'!C33="", "", 'Skills Worktable'!C33)</f>
        <v/>
      </c>
      <c r="N24" s="710"/>
      <c r="O24" s="710"/>
      <c r="P24" s="710"/>
      <c r="Q24" s="295" t="str">
        <f>IF('Skills Worktable'!O33="", "", IF('Skills Worktable'!O33&gt;98, 98, 'Skills Worktable'!O33)&amp;" "&amp;percent)</f>
        <v/>
      </c>
      <c r="R24" s="543"/>
      <c r="S24" s="543"/>
      <c r="T24" s="543"/>
      <c r="U24" s="543"/>
      <c r="V24" s="543"/>
      <c r="W24" s="543"/>
      <c r="X24" s="543"/>
      <c r="Y24" s="543"/>
      <c r="Z24" s="543"/>
      <c r="AA24" s="543"/>
    </row>
    <row r="25" spans="1:27" ht="12.75" customHeight="1" x14ac:dyDescent="0.25">
      <c r="A25" s="709" t="str">
        <f>IF('Skills Worktable'!C4="", "", 'Skills Worktable'!C4)</f>
        <v/>
      </c>
      <c r="B25" s="710"/>
      <c r="C25" s="710"/>
      <c r="D25" s="710"/>
      <c r="E25" s="710"/>
      <c r="F25" s="295" t="str">
        <f>IF('Skills Worktable'!O4="", "", IF('Skills Worktable'!O4&gt;98, 98, 'Skills Worktable'!O4)&amp;" "&amp;percent)</f>
        <v/>
      </c>
      <c r="G25" s="737" t="str">
        <f>IF('Skills Worktable'!C19="", "", 'Skills Worktable'!C19)</f>
        <v/>
      </c>
      <c r="H25" s="737"/>
      <c r="I25" s="737"/>
      <c r="J25" s="737"/>
      <c r="K25" s="662"/>
      <c r="L25" s="295" t="str">
        <f>IF('Skills Worktable'!O19="", "", IF('Skills Worktable'!O19&gt;98, 98, 'Skills Worktable'!O19)&amp;" "&amp;percent)</f>
        <v/>
      </c>
      <c r="M25" s="709" t="str">
        <f>IF('Skills Worktable'!C34="", "", 'Skills Worktable'!C34)</f>
        <v/>
      </c>
      <c r="N25" s="710"/>
      <c r="O25" s="710"/>
      <c r="P25" s="710"/>
      <c r="Q25" s="295" t="str">
        <f>IF('Skills Worktable'!O34="", "", IF('Skills Worktable'!O34&gt;98, 98, 'Skills Worktable'!O34)&amp;" "&amp;percent)</f>
        <v/>
      </c>
      <c r="R25" s="543"/>
      <c r="S25" s="543"/>
      <c r="T25" s="543"/>
      <c r="U25" s="543"/>
      <c r="V25" s="543"/>
      <c r="W25" s="543"/>
      <c r="X25" s="543"/>
      <c r="Y25" s="543"/>
      <c r="Z25" s="543"/>
      <c r="AA25" s="543"/>
    </row>
    <row r="26" spans="1:27" ht="12.75" customHeight="1" x14ac:dyDescent="0.25">
      <c r="A26" s="709" t="str">
        <f>IF('Skills Worktable'!C5="", "", 'Skills Worktable'!C5)</f>
        <v/>
      </c>
      <c r="B26" s="710"/>
      <c r="C26" s="710"/>
      <c r="D26" s="710"/>
      <c r="E26" s="710"/>
      <c r="F26" s="295" t="str">
        <f>IF('Skills Worktable'!O5="", "", IF('Skills Worktable'!O5&gt;98, 98, 'Skills Worktable'!O5)&amp;" "&amp;percent)</f>
        <v/>
      </c>
      <c r="G26" s="737" t="str">
        <f>IF('Skills Worktable'!C20="", "", 'Skills Worktable'!C20)</f>
        <v/>
      </c>
      <c r="H26" s="737"/>
      <c r="I26" s="737"/>
      <c r="J26" s="737"/>
      <c r="K26" s="662"/>
      <c r="L26" s="295" t="str">
        <f>IF('Skills Worktable'!O20="", "", IF('Skills Worktable'!O20&gt;98, 98, 'Skills Worktable'!O20)&amp;" "&amp;percent)</f>
        <v/>
      </c>
      <c r="M26" s="709" t="str">
        <f>IF('Skills Worktable'!C35="", "", 'Skills Worktable'!C35)</f>
        <v/>
      </c>
      <c r="N26" s="710"/>
      <c r="O26" s="710"/>
      <c r="P26" s="710"/>
      <c r="Q26" s="295" t="str">
        <f>IF('Skills Worktable'!O35="", "", IF('Skills Worktable'!O35&gt;98, 98, 'Skills Worktable'!O35)&amp;" "&amp;percent)</f>
        <v/>
      </c>
      <c r="R26" s="543"/>
      <c r="S26" s="543"/>
      <c r="T26" s="543"/>
      <c r="U26" s="543"/>
      <c r="V26" s="543"/>
      <c r="W26" s="543"/>
      <c r="X26" s="543"/>
      <c r="Y26" s="543"/>
      <c r="Z26" s="543"/>
      <c r="AA26" s="543"/>
    </row>
    <row r="27" spans="1:27" ht="12.75" customHeight="1" x14ac:dyDescent="0.25">
      <c r="A27" s="709" t="str">
        <f>IF('Skills Worktable'!C6="", "", 'Skills Worktable'!C6)</f>
        <v/>
      </c>
      <c r="B27" s="710"/>
      <c r="C27" s="710"/>
      <c r="D27" s="710"/>
      <c r="E27" s="710"/>
      <c r="F27" s="295" t="str">
        <f>IF('Skills Worktable'!O6="", "", IF('Skills Worktable'!O6&gt;98, 98, 'Skills Worktable'!O6)&amp;" "&amp;percent)</f>
        <v/>
      </c>
      <c r="G27" s="737" t="str">
        <f>IF('Skills Worktable'!C21="", "", 'Skills Worktable'!C21)</f>
        <v/>
      </c>
      <c r="H27" s="737"/>
      <c r="I27" s="737"/>
      <c r="J27" s="737"/>
      <c r="K27" s="662"/>
      <c r="L27" s="295" t="str">
        <f>IF('Skills Worktable'!O21="", "", IF('Skills Worktable'!O21&gt;98, 98, 'Skills Worktable'!O21)&amp;" "&amp;percent)</f>
        <v/>
      </c>
      <c r="M27" s="709" t="str">
        <f>IF('Skills Worktable'!C36="", "", 'Skills Worktable'!C36)</f>
        <v/>
      </c>
      <c r="N27" s="710"/>
      <c r="O27" s="710"/>
      <c r="P27" s="710"/>
      <c r="Q27" s="295" t="str">
        <f>IF('Skills Worktable'!O36="", "", IF('Skills Worktable'!O36&gt;98, 98, 'Skills Worktable'!O36)&amp;" "&amp;percent)</f>
        <v/>
      </c>
      <c r="R27" s="543"/>
      <c r="S27" s="543"/>
      <c r="T27" s="543"/>
      <c r="U27" s="543"/>
      <c r="V27" s="543"/>
      <c r="W27" s="543"/>
      <c r="X27" s="543"/>
      <c r="Y27" s="543"/>
      <c r="Z27" s="543"/>
      <c r="AA27" s="543"/>
    </row>
    <row r="28" spans="1:27" ht="12.75" customHeight="1" x14ac:dyDescent="0.25">
      <c r="A28" s="709" t="str">
        <f>IF('Skills Worktable'!C7="", "", 'Skills Worktable'!C7)</f>
        <v/>
      </c>
      <c r="B28" s="710"/>
      <c r="C28" s="710"/>
      <c r="D28" s="710"/>
      <c r="E28" s="710"/>
      <c r="F28" s="295" t="str">
        <f>IF('Skills Worktable'!O7="", "", IF('Skills Worktable'!O7&gt;98, 98, 'Skills Worktable'!O7)&amp;" "&amp;percent)</f>
        <v/>
      </c>
      <c r="G28" s="737" t="str">
        <f>IF('Skills Worktable'!C22="", "", 'Skills Worktable'!C22)</f>
        <v/>
      </c>
      <c r="H28" s="737"/>
      <c r="I28" s="737"/>
      <c r="J28" s="737"/>
      <c r="K28" s="662"/>
      <c r="L28" s="295" t="str">
        <f>IF('Skills Worktable'!O22="", "", IF('Skills Worktable'!O22&gt;98, 98, 'Skills Worktable'!O22)&amp;" "&amp;percent)</f>
        <v/>
      </c>
      <c r="M28" s="709" t="str">
        <f>IF('Skills Worktable'!C37="", "", 'Skills Worktable'!C37)</f>
        <v/>
      </c>
      <c r="N28" s="710"/>
      <c r="O28" s="710"/>
      <c r="P28" s="710"/>
      <c r="Q28" s="295" t="str">
        <f>IF('Skills Worktable'!O37="", "", IF('Skills Worktable'!O37&gt;98, 98, 'Skills Worktable'!O37)&amp;" "&amp;percent)</f>
        <v/>
      </c>
      <c r="R28" s="543"/>
      <c r="S28" s="543"/>
      <c r="T28" s="543"/>
      <c r="U28" s="543"/>
      <c r="V28" s="543"/>
      <c r="W28" s="543"/>
      <c r="X28" s="543"/>
      <c r="Y28" s="543"/>
      <c r="Z28" s="543"/>
      <c r="AA28" s="543"/>
    </row>
    <row r="29" spans="1:27" ht="12.75" customHeight="1" x14ac:dyDescent="0.25">
      <c r="A29" s="709" t="str">
        <f>IF('Skills Worktable'!C8="", "", 'Skills Worktable'!C8)</f>
        <v/>
      </c>
      <c r="B29" s="710"/>
      <c r="C29" s="710"/>
      <c r="D29" s="710"/>
      <c r="E29" s="710"/>
      <c r="F29" s="295" t="str">
        <f>IF('Skills Worktable'!O8="", "", IF('Skills Worktable'!O8&gt;98, 98, 'Skills Worktable'!O8)&amp;" "&amp;percent)</f>
        <v/>
      </c>
      <c r="G29" s="737" t="str">
        <f>IF('Skills Worktable'!C23="", "", 'Skills Worktable'!C23)</f>
        <v/>
      </c>
      <c r="H29" s="737"/>
      <c r="I29" s="737"/>
      <c r="J29" s="737"/>
      <c r="K29" s="662"/>
      <c r="L29" s="295" t="str">
        <f>IF('Skills Worktable'!O23="", "", IF('Skills Worktable'!O23&gt;98, 98, 'Skills Worktable'!O23)&amp;" "&amp;percent)</f>
        <v/>
      </c>
      <c r="M29" s="709" t="str">
        <f>IF('Skills Worktable'!C38="", "", 'Skills Worktable'!C38)</f>
        <v/>
      </c>
      <c r="N29" s="710"/>
      <c r="O29" s="710"/>
      <c r="P29" s="710"/>
      <c r="Q29" s="295" t="str">
        <f>IF('Skills Worktable'!O38="", "", IF('Skills Worktable'!O38&gt;98, 98, 'Skills Worktable'!O38)&amp;" "&amp;percent)</f>
        <v/>
      </c>
      <c r="R29" s="543"/>
      <c r="S29" s="543"/>
      <c r="T29" s="543"/>
      <c r="U29" s="543"/>
      <c r="V29" s="543"/>
      <c r="W29" s="543"/>
      <c r="X29" s="543"/>
      <c r="Y29" s="543"/>
      <c r="Z29" s="543"/>
      <c r="AA29" s="543"/>
    </row>
    <row r="30" spans="1:27" ht="12.75" customHeight="1" x14ac:dyDescent="0.25">
      <c r="A30" s="709" t="str">
        <f>IF('Skills Worktable'!C9="", "", 'Skills Worktable'!C9)</f>
        <v/>
      </c>
      <c r="B30" s="710"/>
      <c r="C30" s="710"/>
      <c r="D30" s="710"/>
      <c r="E30" s="710"/>
      <c r="F30" s="295" t="str">
        <f>IF('Skills Worktable'!O9="", "", IF('Skills Worktable'!O9&gt;98, 98, 'Skills Worktable'!O9)&amp;" "&amp;percent)</f>
        <v/>
      </c>
      <c r="G30" s="737" t="str">
        <f>IF('Skills Worktable'!C24="", "", 'Skills Worktable'!C24)</f>
        <v/>
      </c>
      <c r="H30" s="737"/>
      <c r="I30" s="737"/>
      <c r="J30" s="737"/>
      <c r="K30" s="662"/>
      <c r="L30" s="295" t="str">
        <f>IF('Skills Worktable'!O24="", "", IF('Skills Worktable'!O24&gt;98, 98, 'Skills Worktable'!O24)&amp;" "&amp;percent)</f>
        <v/>
      </c>
      <c r="M30" s="709" t="str">
        <f>IF('Skills Worktable'!C39="", "", 'Skills Worktable'!C39)</f>
        <v/>
      </c>
      <c r="N30" s="710"/>
      <c r="O30" s="710"/>
      <c r="P30" s="710"/>
      <c r="Q30" s="295" t="str">
        <f>IF('Skills Worktable'!O39="", "", IF('Skills Worktable'!O39&gt;98, 98, 'Skills Worktable'!O39)&amp;" "&amp;percent)</f>
        <v/>
      </c>
      <c r="R30" s="543"/>
      <c r="S30" s="543"/>
      <c r="T30" s="543"/>
      <c r="U30" s="543"/>
      <c r="V30" s="543"/>
      <c r="W30" s="543"/>
      <c r="X30" s="543"/>
      <c r="Y30" s="543"/>
      <c r="Z30" s="543"/>
      <c r="AA30" s="543"/>
    </row>
    <row r="31" spans="1:27" ht="12.75" customHeight="1" x14ac:dyDescent="0.25">
      <c r="A31" s="709" t="str">
        <f>IF('Skills Worktable'!C10="", "", 'Skills Worktable'!C10)</f>
        <v/>
      </c>
      <c r="B31" s="710"/>
      <c r="C31" s="710"/>
      <c r="D31" s="710"/>
      <c r="E31" s="710"/>
      <c r="F31" s="295" t="str">
        <f>IF('Skills Worktable'!O10="", "", IF('Skills Worktable'!O10&gt;98, 98, 'Skills Worktable'!O10)&amp;" "&amp;percent)</f>
        <v/>
      </c>
      <c r="G31" s="737" t="str">
        <f>IF('Skills Worktable'!C25="", "", 'Skills Worktable'!C25)</f>
        <v/>
      </c>
      <c r="H31" s="737"/>
      <c r="I31" s="737"/>
      <c r="J31" s="737"/>
      <c r="K31" s="662"/>
      <c r="L31" s="295" t="str">
        <f>IF('Skills Worktable'!O25="", "", IF('Skills Worktable'!O25&gt;98, 98, 'Skills Worktable'!O25)&amp;" "&amp;percent)</f>
        <v/>
      </c>
      <c r="M31" s="709" t="str">
        <f>IF('Skills Worktable'!C40="", "", 'Skills Worktable'!C40)</f>
        <v/>
      </c>
      <c r="N31" s="710"/>
      <c r="O31" s="710"/>
      <c r="P31" s="710"/>
      <c r="Q31" s="295" t="str">
        <f>IF('Skills Worktable'!O40="", "", IF('Skills Worktable'!O40&gt;98, 98, 'Skills Worktable'!O40)&amp;" "&amp;percent)</f>
        <v/>
      </c>
      <c r="R31" s="543"/>
      <c r="S31" s="543"/>
      <c r="T31" s="543"/>
      <c r="U31" s="543"/>
      <c r="V31" s="543"/>
      <c r="W31" s="543"/>
      <c r="X31" s="543"/>
      <c r="Y31" s="543"/>
      <c r="Z31" s="543"/>
      <c r="AA31" s="543"/>
    </row>
    <row r="32" spans="1:27" ht="12.75" customHeight="1" x14ac:dyDescent="0.25">
      <c r="A32" s="709" t="str">
        <f>IF('Skills Worktable'!C11="", "", 'Skills Worktable'!C11)</f>
        <v/>
      </c>
      <c r="B32" s="710"/>
      <c r="C32" s="710"/>
      <c r="D32" s="710"/>
      <c r="E32" s="710"/>
      <c r="F32" s="295" t="str">
        <f>IF('Skills Worktable'!O11="", "", IF('Skills Worktable'!O11&gt;98, 98, 'Skills Worktable'!O11)&amp;" "&amp;percent)</f>
        <v/>
      </c>
      <c r="G32" s="737" t="str">
        <f>IF('Skills Worktable'!C26="", "", 'Skills Worktable'!C26)</f>
        <v/>
      </c>
      <c r="H32" s="737"/>
      <c r="I32" s="737"/>
      <c r="J32" s="737"/>
      <c r="K32" s="662"/>
      <c r="L32" s="295" t="str">
        <f>IF('Skills Worktable'!O26="", "", IF('Skills Worktable'!O26&gt;98, 98, 'Skills Worktable'!O26)&amp;" "&amp;percent)</f>
        <v/>
      </c>
      <c r="M32" s="709" t="str">
        <f>IF('Skills Worktable'!C41="", "", 'Skills Worktable'!C41)</f>
        <v/>
      </c>
      <c r="N32" s="710"/>
      <c r="O32" s="710"/>
      <c r="P32" s="710"/>
      <c r="Q32" s="295" t="str">
        <f>IF('Skills Worktable'!O41="", "", IF('Skills Worktable'!O41&gt;98, 98, 'Skills Worktable'!O41)&amp;" "&amp;percent)</f>
        <v/>
      </c>
      <c r="R32" s="543"/>
      <c r="S32" s="543"/>
      <c r="T32" s="543"/>
      <c r="U32" s="543"/>
      <c r="V32" s="543"/>
      <c r="W32" s="543"/>
      <c r="X32" s="543"/>
      <c r="Y32" s="543"/>
      <c r="Z32" s="543"/>
      <c r="AA32" s="543"/>
    </row>
    <row r="33" spans="1:27" ht="12.75" customHeight="1" x14ac:dyDescent="0.25">
      <c r="A33" s="709" t="str">
        <f>IF('Skills Worktable'!C12="", "", 'Skills Worktable'!C12)</f>
        <v/>
      </c>
      <c r="B33" s="710"/>
      <c r="C33" s="710"/>
      <c r="D33" s="710"/>
      <c r="E33" s="710"/>
      <c r="F33" s="295" t="str">
        <f>IF('Skills Worktable'!O12="", "", IF('Skills Worktable'!O12&gt;98, 98, 'Skills Worktable'!O12)&amp;" "&amp;percent)</f>
        <v/>
      </c>
      <c r="G33" s="737" t="str">
        <f>IF('Skills Worktable'!C27="", "", 'Skills Worktable'!C27)</f>
        <v/>
      </c>
      <c r="H33" s="737"/>
      <c r="I33" s="737"/>
      <c r="J33" s="737"/>
      <c r="K33" s="662"/>
      <c r="L33" s="295" t="str">
        <f>IF('Skills Worktable'!O27="", "", IF('Skills Worktable'!O27&gt;98, 98, 'Skills Worktable'!O27)&amp;" "&amp;percent)</f>
        <v/>
      </c>
      <c r="M33" s="709" t="str">
        <f>IF('Skills Worktable'!C42="", "", 'Skills Worktable'!C42)</f>
        <v/>
      </c>
      <c r="N33" s="710"/>
      <c r="O33" s="710"/>
      <c r="P33" s="710"/>
      <c r="Q33" s="295" t="str">
        <f>IF('Skills Worktable'!O42="", "", IF('Skills Worktable'!O42&gt;98, 98, 'Skills Worktable'!O42)&amp;" "&amp;percent)</f>
        <v/>
      </c>
      <c r="R33" s="543"/>
      <c r="S33" s="543"/>
      <c r="T33" s="543"/>
      <c r="U33" s="543"/>
      <c r="V33" s="543"/>
      <c r="W33" s="543"/>
      <c r="X33" s="543"/>
      <c r="Y33" s="543"/>
      <c r="Z33" s="543"/>
      <c r="AA33" s="543"/>
    </row>
    <row r="34" spans="1:27" ht="12.75" customHeight="1" x14ac:dyDescent="0.25">
      <c r="A34" s="709" t="str">
        <f>IF('Skills Worktable'!C13="", "", 'Skills Worktable'!C13)</f>
        <v/>
      </c>
      <c r="B34" s="710"/>
      <c r="C34" s="710"/>
      <c r="D34" s="710"/>
      <c r="E34" s="710"/>
      <c r="F34" s="295" t="str">
        <f>IF('Skills Worktable'!O13="", "", IF('Skills Worktable'!O13&gt;98, 98, 'Skills Worktable'!O13)&amp;" "&amp;percent)</f>
        <v/>
      </c>
      <c r="G34" s="737" t="str">
        <f>IF('Skills Worktable'!C28="", "", 'Skills Worktable'!C28)</f>
        <v/>
      </c>
      <c r="H34" s="737"/>
      <c r="I34" s="737"/>
      <c r="J34" s="737"/>
      <c r="K34" s="662"/>
      <c r="L34" s="295" t="str">
        <f>IF('Skills Worktable'!O28="", "", IF('Skills Worktable'!O28&gt;98, 98, 'Skills Worktable'!O28)&amp;" "&amp;percent)</f>
        <v/>
      </c>
      <c r="M34" s="709" t="str">
        <f>IF('Skills Worktable'!C43="", "", 'Skills Worktable'!C43)</f>
        <v/>
      </c>
      <c r="N34" s="710"/>
      <c r="O34" s="710"/>
      <c r="P34" s="710"/>
      <c r="Q34" s="295" t="str">
        <f>IF('Skills Worktable'!O43="", "", IF('Skills Worktable'!O43&gt;98, 98, 'Skills Worktable'!O43)&amp;" "&amp;percent)</f>
        <v/>
      </c>
      <c r="R34" s="543"/>
      <c r="S34" s="543"/>
      <c r="T34" s="543"/>
      <c r="U34" s="543"/>
      <c r="V34" s="543"/>
      <c r="W34" s="543"/>
      <c r="X34" s="543"/>
      <c r="Y34" s="543"/>
      <c r="Z34" s="543"/>
      <c r="AA34" s="543"/>
    </row>
    <row r="35" spans="1:27" ht="12.75" customHeight="1" x14ac:dyDescent="0.25">
      <c r="A35" s="709" t="str">
        <f>IF('Skills Worktable'!C14="", "", 'Skills Worktable'!C14)</f>
        <v/>
      </c>
      <c r="B35" s="710"/>
      <c r="C35" s="710"/>
      <c r="D35" s="710"/>
      <c r="E35" s="710"/>
      <c r="F35" s="295" t="str">
        <f>IF('Skills Worktable'!O14="", "", IF('Skills Worktable'!O14&gt;98, 98, 'Skills Worktable'!O14)&amp;" "&amp;percent)</f>
        <v/>
      </c>
      <c r="G35" s="737" t="str">
        <f>IF('Skills Worktable'!C29="", "", 'Skills Worktable'!C29)</f>
        <v/>
      </c>
      <c r="H35" s="737"/>
      <c r="I35" s="737"/>
      <c r="J35" s="737"/>
      <c r="K35" s="662"/>
      <c r="L35" s="295" t="str">
        <f>IF('Skills Worktable'!O29="", "", IF('Skills Worktable'!O29&gt;98, 98, 'Skills Worktable'!O29)&amp;" "&amp;percent)</f>
        <v/>
      </c>
      <c r="M35" s="709" t="str">
        <f>IF('Skills Worktable'!C44="", "", 'Skills Worktable'!C44)</f>
        <v/>
      </c>
      <c r="N35" s="710"/>
      <c r="O35" s="710"/>
      <c r="P35" s="710"/>
      <c r="Q35" s="295" t="str">
        <f>IF('Skills Worktable'!O44="", "", IF('Skills Worktable'!O44&gt;98, 98, 'Skills Worktable'!O44)&amp;" "&amp;percent)</f>
        <v/>
      </c>
      <c r="R35" s="543"/>
      <c r="S35" s="543"/>
      <c r="T35" s="543"/>
      <c r="U35" s="543"/>
      <c r="V35" s="543"/>
      <c r="W35" s="543"/>
      <c r="X35" s="543"/>
      <c r="Y35" s="543"/>
      <c r="Z35" s="543"/>
      <c r="AA35" s="543"/>
    </row>
    <row r="36" spans="1:27" ht="12.75" customHeight="1" x14ac:dyDescent="0.25">
      <c r="A36" s="709" t="str">
        <f>IF('Skills Worktable'!C15="", "", 'Skills Worktable'!C15)</f>
        <v/>
      </c>
      <c r="B36" s="710"/>
      <c r="C36" s="710"/>
      <c r="D36" s="710"/>
      <c r="E36" s="710"/>
      <c r="F36" s="295" t="str">
        <f>IF('Skills Worktable'!O15="", "", IF('Skills Worktable'!O15&gt;98, 98, 'Skills Worktable'!O15)&amp;" "&amp;percent)</f>
        <v/>
      </c>
      <c r="G36" s="737" t="str">
        <f>IF('Skills Worktable'!C30="", "", 'Skills Worktable'!C30)</f>
        <v/>
      </c>
      <c r="H36" s="737"/>
      <c r="I36" s="737"/>
      <c r="J36" s="737"/>
      <c r="K36" s="662"/>
      <c r="L36" s="295" t="str">
        <f>IF('Skills Worktable'!O30="", "", IF('Skills Worktable'!O30&gt;98, 98, 'Skills Worktable'!O30)&amp;" "&amp;percent)</f>
        <v/>
      </c>
      <c r="M36" s="709" t="str">
        <f>IF('Skills Worktable'!C45="", "", 'Skills Worktable'!C45)</f>
        <v/>
      </c>
      <c r="N36" s="710"/>
      <c r="O36" s="710"/>
      <c r="P36" s="710"/>
      <c r="Q36" s="295" t="str">
        <f>IF('Skills Worktable'!O45="", "", IF('Skills Worktable'!O45&gt;98, 98, 'Skills Worktable'!O45)&amp;" "&amp;percent)</f>
        <v/>
      </c>
      <c r="R36" s="543"/>
      <c r="S36" s="543"/>
      <c r="T36" s="543"/>
      <c r="U36" s="543"/>
      <c r="V36" s="543"/>
      <c r="W36" s="543"/>
      <c r="X36" s="543"/>
      <c r="Y36" s="543"/>
      <c r="Z36" s="543"/>
      <c r="AA36" s="543"/>
    </row>
    <row r="37" spans="1:27" ht="12.75" customHeight="1" thickBot="1" x14ac:dyDescent="0.3">
      <c r="A37" s="756" t="str">
        <f>IF('Skills Worktable'!C16="", "", 'Skills Worktable'!C16)</f>
        <v/>
      </c>
      <c r="B37" s="757"/>
      <c r="C37" s="757"/>
      <c r="D37" s="757"/>
      <c r="E37" s="757"/>
      <c r="F37" s="296" t="str">
        <f>IF('Skills Worktable'!O16="", "", IF('Skills Worktable'!O16&gt;98, 98, 'Skills Worktable'!O16)&amp;" "&amp;percent)</f>
        <v/>
      </c>
      <c r="G37" s="667" t="str">
        <f>IF('Skills Worktable'!C31="", "", 'Skills Worktable'!C31)</f>
        <v/>
      </c>
      <c r="H37" s="667"/>
      <c r="I37" s="667"/>
      <c r="J37" s="667"/>
      <c r="K37" s="664"/>
      <c r="L37" s="296" t="str">
        <f>IF('Skills Worktable'!O31="", "", IF('Skills Worktable'!O31&gt;98, 98, 'Skills Worktable'!O31)&amp;" "&amp;percent)</f>
        <v/>
      </c>
      <c r="M37" s="756" t="str">
        <f>IF('Skills Worktable'!C46="", "", 'Skills Worktable'!C46)</f>
        <v/>
      </c>
      <c r="N37" s="757"/>
      <c r="O37" s="757"/>
      <c r="P37" s="757"/>
      <c r="Q37" s="296" t="str">
        <f>IF('Skills Worktable'!O46="", "", IF('Skills Worktable'!O46&gt;98, 98, 'Skills Worktable'!O46)&amp;" "&amp;percent)</f>
        <v/>
      </c>
      <c r="R37" s="543"/>
      <c r="S37" s="543"/>
      <c r="T37" s="543"/>
      <c r="U37" s="543"/>
      <c r="V37" s="543"/>
      <c r="W37" s="543"/>
      <c r="X37" s="543"/>
      <c r="Y37" s="543"/>
      <c r="Z37" s="543"/>
      <c r="AA37" s="543"/>
    </row>
    <row r="38" spans="1:27" ht="3.75" customHeight="1" thickBot="1" x14ac:dyDescent="0.3">
      <c r="A38" s="639"/>
      <c r="B38" s="639"/>
      <c r="C38" s="639"/>
      <c r="D38" s="639"/>
      <c r="E38" s="639"/>
      <c r="F38" s="639"/>
      <c r="G38" s="639"/>
      <c r="H38" s="639"/>
      <c r="I38" s="639"/>
      <c r="J38" s="639"/>
      <c r="K38" s="639"/>
      <c r="L38" s="639"/>
      <c r="M38" s="639"/>
      <c r="N38" s="639"/>
      <c r="O38" s="639"/>
      <c r="P38" s="639"/>
      <c r="Q38" s="639"/>
      <c r="R38" s="543"/>
      <c r="S38" s="543"/>
      <c r="T38" s="543"/>
      <c r="U38" s="543"/>
      <c r="V38" s="543"/>
      <c r="W38" s="543"/>
      <c r="X38" s="543"/>
      <c r="Y38" s="543"/>
      <c r="Z38" s="543"/>
      <c r="AA38" s="543"/>
    </row>
    <row r="39" spans="1:27" ht="14.25" customHeight="1" thickBot="1" x14ac:dyDescent="0.3">
      <c r="A39" s="669" t="s">
        <v>57</v>
      </c>
      <c r="B39" s="670"/>
      <c r="C39" s="670"/>
      <c r="D39" s="670"/>
      <c r="E39" s="670"/>
      <c r="F39" s="670"/>
      <c r="G39" s="670"/>
      <c r="H39" s="670"/>
      <c r="I39" s="670"/>
      <c r="J39" s="670"/>
      <c r="K39" s="670"/>
      <c r="L39" s="670"/>
      <c r="M39" s="670"/>
      <c r="N39" s="670"/>
      <c r="O39" s="670"/>
      <c r="P39" s="670"/>
      <c r="Q39" s="671"/>
      <c r="R39" s="543"/>
      <c r="S39" s="543"/>
      <c r="T39" s="543"/>
      <c r="U39" s="543"/>
      <c r="V39" s="543"/>
      <c r="W39" s="543"/>
      <c r="X39" s="543"/>
      <c r="Y39" s="543"/>
      <c r="Z39" s="543"/>
      <c r="AA39" s="543"/>
    </row>
    <row r="40" spans="1:27" ht="12.75" customHeight="1" x14ac:dyDescent="0.25">
      <c r="A40" s="797" t="s">
        <v>58</v>
      </c>
      <c r="B40" s="798"/>
      <c r="C40" s="798"/>
      <c r="D40" s="798"/>
      <c r="E40" s="87" t="str">
        <f>plus&amp;" "&amp;save_coma&amp;" "&amp;percent</f>
        <v>+ 0 %</v>
      </c>
      <c r="F40" s="762" t="s">
        <v>59</v>
      </c>
      <c r="G40" s="763"/>
      <c r="H40" s="763"/>
      <c r="I40" s="764"/>
      <c r="J40" s="87" t="str">
        <f>plus&amp;" "&amp;save_hf</f>
        <v>+ 0</v>
      </c>
      <c r="K40" s="762" t="s">
        <v>60</v>
      </c>
      <c r="L40" s="763"/>
      <c r="M40" s="764"/>
      <c r="N40" s="87" t="str">
        <f>plus&amp;" "&amp;save_element</f>
        <v>+ 0</v>
      </c>
      <c r="O40" s="762" t="s">
        <v>61</v>
      </c>
      <c r="P40" s="764"/>
      <c r="Q40" s="90" t="str">
        <f>plus&amp;" "&amp;save_possess</f>
        <v>+ 0</v>
      </c>
      <c r="R40" s="543"/>
      <c r="S40" s="543"/>
      <c r="T40" s="543"/>
      <c r="U40" s="543"/>
      <c r="V40" s="543"/>
      <c r="W40" s="543"/>
      <c r="X40" s="543"/>
      <c r="Y40" s="543"/>
      <c r="Z40" s="543"/>
      <c r="AA40" s="543"/>
    </row>
    <row r="41" spans="1:27" ht="12.75" customHeight="1" x14ac:dyDescent="0.25">
      <c r="A41" s="758" t="s">
        <v>62</v>
      </c>
      <c r="B41" s="728"/>
      <c r="C41" s="728"/>
      <c r="D41" s="729"/>
      <c r="E41" s="88" t="str">
        <f>plus&amp;" "&amp;save_psi</f>
        <v>+ 0</v>
      </c>
      <c r="F41" s="765" t="s">
        <v>63</v>
      </c>
      <c r="G41" s="728"/>
      <c r="H41" s="728"/>
      <c r="I41" s="729"/>
      <c r="J41" s="88" t="str">
        <f>plus&amp;" "&amp;save_magic</f>
        <v>+ 0</v>
      </c>
      <c r="K41" s="762" t="s">
        <v>64</v>
      </c>
      <c r="L41" s="763"/>
      <c r="M41" s="764"/>
      <c r="N41" s="88" t="str">
        <f>plus&amp;" "&amp;save_poison</f>
        <v>+ 0</v>
      </c>
      <c r="O41" s="762" t="s">
        <v>65</v>
      </c>
      <c r="P41" s="764"/>
      <c r="Q41" s="80" t="str">
        <f>plus&amp;" "&amp;save_illusion</f>
        <v>+ 0</v>
      </c>
      <c r="R41" s="543"/>
      <c r="S41" s="543"/>
      <c r="T41" s="543"/>
      <c r="U41" s="543"/>
      <c r="V41" s="543"/>
      <c r="W41" s="543"/>
      <c r="X41" s="543"/>
      <c r="Y41" s="543"/>
      <c r="Z41" s="543"/>
      <c r="AA41" s="543"/>
    </row>
    <row r="42" spans="1:27" ht="12.75" customHeight="1" thickBot="1" x14ac:dyDescent="0.3">
      <c r="A42" s="766" t="s">
        <v>66</v>
      </c>
      <c r="B42" s="760"/>
      <c r="C42" s="760"/>
      <c r="D42" s="761"/>
      <c r="E42" s="89" t="str">
        <f>plus&amp;" "&amp;save_insane</f>
        <v>+ 0</v>
      </c>
      <c r="F42" s="759" t="s">
        <v>67</v>
      </c>
      <c r="G42" s="760"/>
      <c r="H42" s="760"/>
      <c r="I42" s="761"/>
      <c r="J42" s="89" t="str">
        <f>plus&amp;" "&amp;save_faerie</f>
        <v>+ 0</v>
      </c>
      <c r="K42" s="759" t="s">
        <v>68</v>
      </c>
      <c r="L42" s="760"/>
      <c r="M42" s="761"/>
      <c r="N42" s="89" t="str">
        <f>plus&amp;" "&amp;save_disease</f>
        <v>+ 0</v>
      </c>
      <c r="O42" s="759" t="s">
        <v>69</v>
      </c>
      <c r="P42" s="761"/>
      <c r="Q42" s="81" t="str">
        <f>plus&amp;" "&amp;save_control</f>
        <v>+ 0</v>
      </c>
      <c r="R42" s="543"/>
      <c r="S42" s="543"/>
      <c r="T42" s="543"/>
      <c r="U42" s="543"/>
      <c r="V42" s="543"/>
      <c r="W42" s="543"/>
      <c r="X42" s="543"/>
      <c r="Y42" s="543"/>
      <c r="Z42" s="543"/>
      <c r="AA42" s="543"/>
    </row>
    <row r="43" spans="1:27" ht="3.75" customHeight="1" thickBot="1" x14ac:dyDescent="0.3">
      <c r="A43" s="681"/>
      <c r="B43" s="681"/>
      <c r="C43" s="681"/>
      <c r="D43" s="681"/>
      <c r="E43" s="681"/>
      <c r="F43" s="681"/>
      <c r="G43" s="681"/>
      <c r="H43" s="681"/>
      <c r="I43" s="681"/>
      <c r="J43" s="681"/>
      <c r="K43" s="681"/>
      <c r="L43" s="681"/>
      <c r="M43" s="681"/>
      <c r="N43" s="681"/>
      <c r="O43" s="681"/>
      <c r="P43" s="681"/>
      <c r="Q43" s="681"/>
      <c r="R43" s="543"/>
      <c r="S43" s="543"/>
      <c r="T43" s="543"/>
      <c r="U43" s="543"/>
      <c r="V43" s="543"/>
      <c r="W43" s="543"/>
      <c r="X43" s="543"/>
      <c r="Y43" s="543"/>
      <c r="Z43" s="543"/>
      <c r="AA43" s="543"/>
    </row>
    <row r="44" spans="1:27" ht="14.25" customHeight="1" thickBot="1" x14ac:dyDescent="0.3">
      <c r="A44" s="767" t="s">
        <v>70</v>
      </c>
      <c r="B44" s="768"/>
      <c r="C44" s="768"/>
      <c r="D44" s="768"/>
      <c r="E44" s="768"/>
      <c r="F44" s="768"/>
      <c r="G44" s="768"/>
      <c r="H44" s="768"/>
      <c r="I44" s="768"/>
      <c r="J44" s="768"/>
      <c r="K44" s="768"/>
      <c r="L44" s="768"/>
      <c r="M44" s="768"/>
      <c r="N44" s="768"/>
      <c r="O44" s="768"/>
      <c r="P44" s="768"/>
      <c r="Q44" s="769"/>
      <c r="R44" s="543"/>
      <c r="S44" s="543"/>
      <c r="T44" s="543"/>
      <c r="U44" s="543"/>
      <c r="V44" s="543"/>
      <c r="W44" s="543"/>
      <c r="X44" s="543"/>
      <c r="Y44" s="543"/>
      <c r="Z44" s="543"/>
      <c r="AA44" s="543"/>
    </row>
    <row r="45" spans="1:27" s="1" customFormat="1" ht="12.75" customHeight="1" x14ac:dyDescent="0.2">
      <c r="A45" s="642" t="s">
        <v>71</v>
      </c>
      <c r="B45" s="643"/>
      <c r="C45" s="643"/>
      <c r="D45" s="643" t="str">
        <f>IF(hth="", "None", hth)</f>
        <v>None</v>
      </c>
      <c r="E45" s="643"/>
      <c r="F45" s="672"/>
      <c r="G45" s="634" t="s">
        <v>661</v>
      </c>
      <c r="H45" s="635"/>
      <c r="I45" s="636"/>
      <c r="J45" s="155">
        <f>total_attack</f>
        <v>1</v>
      </c>
      <c r="K45" s="132" t="s">
        <v>659</v>
      </c>
      <c r="L45" s="156">
        <f>total_hp</f>
        <v>0</v>
      </c>
      <c r="M45" s="131" t="s">
        <v>73</v>
      </c>
      <c r="N45" s="130">
        <f>total_sdc</f>
        <v>0</v>
      </c>
      <c r="O45" s="673" t="s">
        <v>660</v>
      </c>
      <c r="P45" s="673"/>
      <c r="Q45" s="83" t="str">
        <f>IF(COUNTIF(skill_select, "W.P. Archery")=0, "", IF(INDEX(wp_rof, MATCH("W.P. Archery", rof_col, 0), MATCH(calc_lev-(VLOOKUP("W.P. Archery", wp_search, 10, FALSE))+1, rof_row, 0))="", "", INDEX(wp_rof, MATCH("W.P. Archery", rof_col, 0), MATCH(calc_lev-(VLOOKUP("W.P. Archery", wp_search, 10, FALSE))+1, rof_row, 0))))</f>
        <v/>
      </c>
      <c r="R45" s="544"/>
      <c r="S45" s="544"/>
      <c r="T45" s="544"/>
      <c r="U45" s="544"/>
      <c r="V45" s="544"/>
      <c r="W45" s="544"/>
      <c r="X45" s="544"/>
      <c r="Y45" s="544"/>
      <c r="Z45" s="544"/>
      <c r="AA45" s="544"/>
    </row>
    <row r="46" spans="1:27" ht="12.75" customHeight="1" x14ac:dyDescent="0.25">
      <c r="A46" s="770" t="s">
        <v>74</v>
      </c>
      <c r="B46" s="699"/>
      <c r="C46" s="695"/>
      <c r="D46" s="91" t="str">
        <f>plus&amp;" "&amp;total_initiative</f>
        <v>+ 0</v>
      </c>
      <c r="E46" s="775" t="s">
        <v>75</v>
      </c>
      <c r="F46" s="775"/>
      <c r="G46" s="93" t="str">
        <f>plus&amp;" "&amp;total_strike</f>
        <v>+ 0</v>
      </c>
      <c r="H46" s="701" t="s">
        <v>76</v>
      </c>
      <c r="I46" s="701"/>
      <c r="J46" s="701"/>
      <c r="K46" s="91" t="str">
        <f>plus&amp;" "&amp;total_parry</f>
        <v>+ 0</v>
      </c>
      <c r="L46" s="677" t="s">
        <v>77</v>
      </c>
      <c r="M46" s="677"/>
      <c r="N46" s="91" t="str">
        <f>plus&amp;" "&amp;total_dodge</f>
        <v>+ 0</v>
      </c>
      <c r="O46" s="675" t="s">
        <v>78</v>
      </c>
      <c r="P46" s="676"/>
      <c r="Q46" s="94" t="str">
        <f>plus&amp;" "&amp;total_roll</f>
        <v>+ 0</v>
      </c>
      <c r="R46" s="543"/>
      <c r="S46" s="543"/>
      <c r="T46" s="543"/>
      <c r="U46" s="543"/>
      <c r="V46" s="543"/>
      <c r="W46" s="543"/>
      <c r="X46" s="543"/>
      <c r="Y46" s="543"/>
      <c r="Z46" s="543"/>
      <c r="AA46" s="543"/>
    </row>
    <row r="47" spans="1:27" ht="12.75" customHeight="1" thickBot="1" x14ac:dyDescent="0.3">
      <c r="A47" s="771" t="s">
        <v>79</v>
      </c>
      <c r="B47" s="700"/>
      <c r="C47" s="666"/>
      <c r="D47" s="92" t="str">
        <f>plus&amp;" "&amp;total_pull</f>
        <v>+ 0</v>
      </c>
      <c r="E47" s="702" t="s">
        <v>80</v>
      </c>
      <c r="F47" s="702"/>
      <c r="G47" s="92" t="str">
        <f>plus&amp;" "&amp;total_damage</f>
        <v>+ 0</v>
      </c>
      <c r="H47" s="702" t="s">
        <v>81</v>
      </c>
      <c r="I47" s="702"/>
      <c r="J47" s="702"/>
      <c r="K47" s="92">
        <f>crit</f>
        <v>20</v>
      </c>
      <c r="L47" s="759" t="s">
        <v>82</v>
      </c>
      <c r="M47" s="761"/>
      <c r="N47" s="92" t="str">
        <f>IF(ko="", "", ko)</f>
        <v/>
      </c>
      <c r="O47" s="759" t="s">
        <v>83</v>
      </c>
      <c r="P47" s="761"/>
      <c r="Q47" s="84" t="str">
        <f>IF(db="", "", db)</f>
        <v/>
      </c>
      <c r="R47" s="543"/>
      <c r="S47" s="543"/>
      <c r="T47" s="543"/>
      <c r="U47" s="543"/>
      <c r="V47" s="543"/>
      <c r="W47" s="543"/>
      <c r="X47" s="543"/>
      <c r="Y47" s="543"/>
      <c r="Z47" s="543"/>
      <c r="AA47" s="543"/>
    </row>
    <row r="48" spans="1:27" ht="3.75" customHeight="1" thickBot="1" x14ac:dyDescent="0.3">
      <c r="A48" s="681"/>
      <c r="B48" s="681"/>
      <c r="C48" s="681"/>
      <c r="D48" s="681"/>
      <c r="E48" s="681"/>
      <c r="F48" s="681"/>
      <c r="G48" s="681"/>
      <c r="H48" s="681"/>
      <c r="I48" s="681"/>
      <c r="J48" s="681"/>
      <c r="K48" s="681"/>
      <c r="L48" s="681"/>
      <c r="M48" s="681"/>
      <c r="N48" s="681"/>
      <c r="O48" s="681"/>
      <c r="P48" s="681"/>
      <c r="Q48" s="681"/>
      <c r="R48" s="543"/>
      <c r="S48" s="543"/>
      <c r="T48" s="543"/>
      <c r="U48" s="543"/>
      <c r="V48" s="543"/>
      <c r="W48" s="543"/>
      <c r="X48" s="543"/>
      <c r="Y48" s="543"/>
      <c r="Z48" s="543"/>
      <c r="AA48" s="543"/>
    </row>
    <row r="49" spans="1:27" ht="14.25" customHeight="1" thickBot="1" x14ac:dyDescent="0.3">
      <c r="A49" s="669" t="s">
        <v>658</v>
      </c>
      <c r="B49" s="670"/>
      <c r="C49" s="670"/>
      <c r="D49" s="670"/>
      <c r="E49" s="670"/>
      <c r="F49" s="670"/>
      <c r="G49" s="670"/>
      <c r="H49" s="670"/>
      <c r="I49" s="670"/>
      <c r="J49" s="670"/>
      <c r="K49" s="670"/>
      <c r="L49" s="670"/>
      <c r="M49" s="670"/>
      <c r="N49" s="670"/>
      <c r="O49" s="670"/>
      <c r="P49" s="670"/>
      <c r="Q49" s="671"/>
      <c r="R49" s="543"/>
      <c r="S49" s="543"/>
      <c r="T49" s="543"/>
      <c r="U49" s="543"/>
      <c r="V49" s="543"/>
      <c r="W49" s="543"/>
      <c r="X49" s="543"/>
      <c r="Y49" s="543"/>
      <c r="Z49" s="543"/>
      <c r="AA49" s="543"/>
    </row>
    <row r="50" spans="1:27" ht="12.75" customHeight="1" x14ac:dyDescent="0.25">
      <c r="A50" s="644" t="s">
        <v>190</v>
      </c>
      <c r="B50" s="645"/>
      <c r="C50" s="646"/>
      <c r="D50" s="70" t="s">
        <v>84</v>
      </c>
      <c r="E50" s="659" t="str">
        <f>IF(VLOOKUP(TRUE, true_weapons, 3, FALSE)=0, "Basic Punch", VLOOKUP(TRUE, true_weapons, 3, FALSE))</f>
        <v>Basic Punch</v>
      </c>
      <c r="F50" s="660"/>
      <c r="G50" s="70" t="s">
        <v>75</v>
      </c>
      <c r="H50" s="703" t="str">
        <f>IF(VLOOKUP(TRUE, true_weapons, 12, FALSE)="RANGED", plus&amp;" "&amp;VLOOKUP(TRUE, true_weapons, 5, FALSE)+VLOOKUP(TRUE, true_weapons, 10, FALSE)+range_strike, plus&amp;" "&amp;VLOOKUP(TRUE, true_weapons, 5, FALSE)+VLOOKUP(TRUE, true_weapons, 10, FALSE)+total_strike)</f>
        <v>+ 0</v>
      </c>
      <c r="I50" s="646"/>
      <c r="J50" s="71" t="s">
        <v>76</v>
      </c>
      <c r="K50" s="95" t="str">
        <f>plus&amp;" "&amp;VLOOKUP(TRUE, true_weapons, 6, FALSE)+VLOOKUP(TRUE, true_weapons, 11, FALSE)+total_parry</f>
        <v>+ 0</v>
      </c>
      <c r="L50" s="795" t="s">
        <v>85</v>
      </c>
      <c r="M50" s="796"/>
      <c r="N50" s="683" t="str">
        <f>IF(VLOOKUP(TRUE, true_weapons, 7, FALSE)=0, basic_punch, IF(VLOOKUP(TRUE, true_weapons, 12, FALSE)="RANGED", VLOOKUP(TRUE, true_weapons, 15, FALSE), VLOOKUP(TRUE, true_weapons, 14, FALSE)))</f>
        <v>1D4+0</v>
      </c>
      <c r="O50" s="684"/>
      <c r="P50" s="300" t="str">
        <f>IF(VLOOKUP(TRUE, true_weapons, 12, FALSE)="RANGED", "Range", IF(COUNTIF(skill_select, VLOOKUP(TRUE, true_weapons, 4, FALSE))=0, "", IF(VLOOKUP(VLOOKUP(TRUE, true_weapons, 4, FALSE), special_search, 2, FALSE)="", "", (VLOOKUP(VLOOKUP(TRUE, true_weapons, 4, FALSE), special_search, 2, FALSE)))))</f>
        <v/>
      </c>
      <c r="Q50" s="486" t="str">
        <f>IF(VLOOKUP(TRUE, true_weapons, 12, FALSE)="RANGED", VLOOKUP(TRUE, true_weapons, 13, FALSE)&amp;" "&amp;VLOOKUP(TRUE, true_weapons, 16, FALSE), IF(COUNTIF(skill_select, VLOOKUP(TRUE, true_weapons, 4, FALSE))=0, "", IF(INDEX(wp_special, MATCH(VLOOKUP(TRUE, true_weapons, 4, FALSE), special_col, 0), MATCH(calc_lev-(VLOOKUP(VLOOKUP(TRUE, true_weapons, 4, FALSE), wp_search, 10, FALSE))+1, special_row, 0))="", "", INDEX(wp_special, MATCH(VLOOKUP(TRUE, true_weapons, 4, FALSE), special_col, 0), MATCH(calc_lev-(VLOOKUP(VLOOKUP(TRUE, true_weapons, 4, FALSE), wp_search, 10, FALSE))+1, special_row, 0)))))</f>
        <v/>
      </c>
      <c r="R50" s="543"/>
      <c r="S50" s="543"/>
      <c r="T50" s="543"/>
      <c r="U50" s="543"/>
      <c r="V50" s="543"/>
      <c r="W50" s="543"/>
      <c r="X50" s="543"/>
      <c r="Y50" s="543"/>
      <c r="Z50" s="543"/>
      <c r="AA50" s="543"/>
    </row>
    <row r="51" spans="1:27" ht="12.75" customHeight="1" x14ac:dyDescent="0.25">
      <c r="A51" s="647" t="s">
        <v>191</v>
      </c>
      <c r="B51" s="648"/>
      <c r="C51" s="649"/>
      <c r="D51" s="72" t="s">
        <v>84</v>
      </c>
      <c r="E51" s="661" t="str">
        <f>IF(VLOOKUP(TRUE, true_alt, 2, FALSE)=0, "Basic Punch", VLOOKUP(TRUE, true_alt, 2, FALSE))</f>
        <v>Basic Punch</v>
      </c>
      <c r="F51" s="662"/>
      <c r="G51" s="72" t="s">
        <v>75</v>
      </c>
      <c r="H51" s="685" t="str">
        <f>IF(VLOOKUP(TRUE, true_alt, 11, FALSE)="RANGED", plus&amp;" "&amp;VLOOKUP(TRUE, true_alt, 4, FALSE)+VLOOKUP(TRUE, true_alt, 9, FALSE)+range_strike, plus&amp;" "&amp;VLOOKUP(TRUE, true_alt, 4, FALSE)+VLOOKUP(TRUE, true_alt, 9, FALSE)+total_strike)</f>
        <v>+ 0</v>
      </c>
      <c r="I51" s="649"/>
      <c r="J51" s="72" t="s">
        <v>76</v>
      </c>
      <c r="K51" s="78" t="str">
        <f>plus&amp;" "&amp;VLOOKUP(TRUE, true_alt, 5, FALSE)+VLOOKUP(TRUE, true_alt, 10, FALSE)+total_parry</f>
        <v>+ 0</v>
      </c>
      <c r="L51" s="694" t="s">
        <v>85</v>
      </c>
      <c r="M51" s="699"/>
      <c r="N51" s="685" t="str">
        <f>IF(VLOOKUP(TRUE, true_alt, 6, FALSE)=0, basic_punch, IF(VLOOKUP(TRUE, true_alt, 11, FALSE)="RANGED", VLOOKUP(TRUE, true_alt, 14, FALSE), VLOOKUP(TRUE, true_alt, 13, FALSE)))</f>
        <v>1D4+0</v>
      </c>
      <c r="O51" s="649"/>
      <c r="P51" s="301" t="str">
        <f>IF(VLOOKUP(TRUE, true_alt, 11, FALSE)="RANGED", "Range", IF(COUNTIF(skill_select, VLOOKUP(TRUE, true_alt, 3, FALSE))=0, "", IF(VLOOKUP(VLOOKUP(TRUE, true_alt, 3, FALSE), special_search, 2, FALSE)="", "", (VLOOKUP(VLOOKUP(TRUE, true_alt, 3, FALSE), special_search, 2, FALSE)))))</f>
        <v/>
      </c>
      <c r="Q51" s="487" t="str">
        <f>IF(VLOOKUP(TRUE, true_alt, 11, FALSE)="RANGED", VLOOKUP(TRUE, true_alt, 12, FALSE)&amp;" "&amp;VLOOKUP(TRUE, true_alt, 15, FALSE), IF(COUNTIF(skill_select, VLOOKUP(TRUE, true_alt, 3, FALSE))=0, "", IF(INDEX(wp_special, MATCH(VLOOKUP(TRUE, true_alt, 3, FALSE), special_col, 0), MATCH(calc_lev-(VLOOKUP(VLOOKUP(TRUE, true_alt, 3, FALSE), wp_search, 10, FALSE))+1, special_row, 0))="", "", INDEX(wp_special, MATCH(VLOOKUP(TRUE, true_alt, 3, FALSE), special_col, 0), MATCH(calc_lev-(VLOOKUP(VLOOKUP(TRUE, true_alt, 3, FALSE), wp_search, 10, FALSE))+1, special_row, 0)))))</f>
        <v/>
      </c>
      <c r="R51" s="543"/>
      <c r="S51" s="543"/>
      <c r="T51" s="543"/>
      <c r="U51" s="543"/>
      <c r="V51" s="543"/>
      <c r="W51" s="543"/>
      <c r="X51" s="543"/>
      <c r="Y51" s="543"/>
      <c r="Z51" s="543"/>
      <c r="AA51" s="543"/>
    </row>
    <row r="52" spans="1:27" ht="12.75" customHeight="1" thickBot="1" x14ac:dyDescent="0.3">
      <c r="A52" s="650" t="s">
        <v>86</v>
      </c>
      <c r="B52" s="651"/>
      <c r="C52" s="652"/>
      <c r="D52" s="69" t="s">
        <v>84</v>
      </c>
      <c r="E52" s="663" t="str">
        <f>IF(VLOOKUP(TRUE, true_armor, 2, FALSE)=0, "None", VLOOKUP(TRUE, true_armor, 2, FALSE))</f>
        <v>None</v>
      </c>
      <c r="F52" s="664"/>
      <c r="G52" s="69" t="s">
        <v>87</v>
      </c>
      <c r="H52" s="704" t="str">
        <f>IF(VLOOKUP(TRUE, true_armor, 3, FALSE)=0, "", VLOOKUP(TRUE, true_armor, 3, FALSE))</f>
        <v/>
      </c>
      <c r="I52" s="652"/>
      <c r="J52" s="69" t="s">
        <v>73</v>
      </c>
      <c r="K52" s="96" t="str">
        <f>IF(VLOOKUP(TRUE, true_armor, 4, FALSE)=0, "", VLOOKUP(TRUE, true_armor, 4, FALSE))</f>
        <v/>
      </c>
      <c r="L52" s="665" t="s">
        <v>88</v>
      </c>
      <c r="M52" s="666"/>
      <c r="N52" s="663" t="str">
        <f>IF(VLOOKUP(TRUE, true_armor, 5, FALSE)=0, "", VLOOKUP(TRUE, true_armor, 5, FALSE))</f>
        <v/>
      </c>
      <c r="O52" s="667"/>
      <c r="P52" s="667"/>
      <c r="Q52" s="668"/>
      <c r="R52" s="543"/>
      <c r="S52" s="543"/>
      <c r="T52" s="543"/>
      <c r="U52" s="543"/>
      <c r="V52" s="543"/>
      <c r="W52" s="543"/>
      <c r="X52" s="543"/>
      <c r="Y52" s="543"/>
      <c r="Z52" s="543"/>
      <c r="AA52" s="543"/>
    </row>
    <row r="53" spans="1:27" ht="3.75" customHeight="1" thickBot="1" x14ac:dyDescent="0.3">
      <c r="A53" s="639"/>
      <c r="B53" s="639"/>
      <c r="C53" s="639"/>
      <c r="D53" s="639"/>
      <c r="E53" s="639"/>
      <c r="F53" s="639"/>
      <c r="G53" s="639"/>
      <c r="H53" s="639"/>
      <c r="I53" s="639"/>
      <c r="J53" s="639"/>
      <c r="K53" s="639"/>
      <c r="L53" s="639"/>
      <c r="M53" s="639"/>
      <c r="N53" s="639"/>
      <c r="O53" s="639"/>
      <c r="P53" s="639"/>
      <c r="Q53" s="639"/>
      <c r="R53" s="543"/>
      <c r="S53" s="543"/>
      <c r="T53" s="543"/>
      <c r="U53" s="543"/>
      <c r="V53" s="543"/>
      <c r="W53" s="543"/>
      <c r="X53" s="543"/>
      <c r="Y53" s="543"/>
      <c r="Z53" s="543"/>
      <c r="AA53" s="543"/>
    </row>
    <row r="54" spans="1:27" ht="14.25" customHeight="1" thickBot="1" x14ac:dyDescent="0.3">
      <c r="A54" s="669" t="s">
        <v>89</v>
      </c>
      <c r="B54" s="670"/>
      <c r="C54" s="670"/>
      <c r="D54" s="670"/>
      <c r="E54" s="670"/>
      <c r="F54" s="670"/>
      <c r="G54" s="670"/>
      <c r="H54" s="670"/>
      <c r="I54" s="670"/>
      <c r="J54" s="670"/>
      <c r="K54" s="670"/>
      <c r="L54" s="670"/>
      <c r="M54" s="670"/>
      <c r="N54" s="670"/>
      <c r="O54" s="670"/>
      <c r="P54" s="670"/>
      <c r="Q54" s="671"/>
      <c r="R54" s="543"/>
      <c r="S54" s="543"/>
      <c r="T54" s="543"/>
      <c r="U54" s="543"/>
      <c r="V54" s="543"/>
      <c r="W54" s="543"/>
      <c r="X54" s="543"/>
      <c r="Y54" s="543"/>
      <c r="Z54" s="543"/>
      <c r="AA54" s="543"/>
    </row>
    <row r="55" spans="1:27" ht="12.75" customHeight="1" x14ac:dyDescent="0.25">
      <c r="A55" s="772"/>
      <c r="B55" s="773"/>
      <c r="C55" s="773"/>
      <c r="D55" s="773"/>
      <c r="E55" s="773"/>
      <c r="F55" s="773"/>
      <c r="G55" s="773"/>
      <c r="H55" s="773"/>
      <c r="I55" s="773"/>
      <c r="J55" s="773"/>
      <c r="K55" s="773"/>
      <c r="L55" s="773"/>
      <c r="M55" s="773"/>
      <c r="N55" s="773"/>
      <c r="O55" s="773"/>
      <c r="P55" s="773"/>
      <c r="Q55" s="774"/>
      <c r="R55" s="543"/>
      <c r="S55" s="543"/>
      <c r="T55" s="543"/>
      <c r="U55" s="543"/>
      <c r="V55" s="543"/>
      <c r="W55" s="543"/>
      <c r="X55" s="543"/>
      <c r="Y55" s="543"/>
      <c r="Z55" s="543"/>
      <c r="AA55" s="543"/>
    </row>
    <row r="56" spans="1:27" ht="12.75" customHeight="1" x14ac:dyDescent="0.25">
      <c r="A56" s="653"/>
      <c r="B56" s="654"/>
      <c r="C56" s="654"/>
      <c r="D56" s="654"/>
      <c r="E56" s="654"/>
      <c r="F56" s="654"/>
      <c r="G56" s="654"/>
      <c r="H56" s="654"/>
      <c r="I56" s="654"/>
      <c r="J56" s="654"/>
      <c r="K56" s="654"/>
      <c r="L56" s="654"/>
      <c r="M56" s="654"/>
      <c r="N56" s="654"/>
      <c r="O56" s="654"/>
      <c r="P56" s="654"/>
      <c r="Q56" s="655"/>
      <c r="R56" s="543"/>
      <c r="S56" s="543"/>
      <c r="T56" s="543"/>
      <c r="U56" s="543"/>
      <c r="V56" s="543"/>
      <c r="W56" s="543"/>
      <c r="X56" s="543"/>
      <c r="Y56" s="543"/>
      <c r="Z56" s="543"/>
      <c r="AA56" s="543"/>
    </row>
    <row r="57" spans="1:27" ht="12.75" customHeight="1" x14ac:dyDescent="0.25">
      <c r="A57" s="653"/>
      <c r="B57" s="654"/>
      <c r="C57" s="654"/>
      <c r="D57" s="654"/>
      <c r="E57" s="654"/>
      <c r="F57" s="654"/>
      <c r="G57" s="654"/>
      <c r="H57" s="654"/>
      <c r="I57" s="654"/>
      <c r="J57" s="654"/>
      <c r="K57" s="654"/>
      <c r="L57" s="654"/>
      <c r="M57" s="654"/>
      <c r="N57" s="654"/>
      <c r="O57" s="654"/>
      <c r="P57" s="654"/>
      <c r="Q57" s="655"/>
      <c r="R57" s="543"/>
      <c r="S57" s="543"/>
      <c r="T57" s="543"/>
      <c r="U57" s="543"/>
      <c r="V57" s="543"/>
      <c r="W57" s="543"/>
      <c r="X57" s="543"/>
      <c r="Y57" s="543"/>
      <c r="Z57" s="543"/>
      <c r="AA57" s="543"/>
    </row>
    <row r="58" spans="1:27" ht="12.75" customHeight="1" x14ac:dyDescent="0.25">
      <c r="A58" s="653"/>
      <c r="B58" s="654"/>
      <c r="C58" s="654"/>
      <c r="D58" s="654"/>
      <c r="E58" s="654"/>
      <c r="F58" s="654"/>
      <c r="G58" s="654"/>
      <c r="H58" s="654"/>
      <c r="I58" s="654"/>
      <c r="J58" s="654"/>
      <c r="K58" s="654"/>
      <c r="L58" s="654"/>
      <c r="M58" s="654"/>
      <c r="N58" s="654"/>
      <c r="O58" s="654"/>
      <c r="P58" s="654"/>
      <c r="Q58" s="655"/>
      <c r="R58" s="543"/>
      <c r="S58" s="543"/>
      <c r="T58" s="543"/>
      <c r="U58" s="543"/>
      <c r="V58" s="543"/>
      <c r="W58" s="543"/>
      <c r="X58" s="543"/>
      <c r="Y58" s="543"/>
      <c r="Z58" s="543"/>
      <c r="AA58" s="543"/>
    </row>
    <row r="59" spans="1:27" ht="12.75" customHeight="1" thickBot="1" x14ac:dyDescent="0.3">
      <c r="A59" s="656"/>
      <c r="B59" s="657"/>
      <c r="C59" s="657"/>
      <c r="D59" s="657"/>
      <c r="E59" s="657"/>
      <c r="F59" s="657"/>
      <c r="G59" s="657"/>
      <c r="H59" s="657"/>
      <c r="I59" s="657"/>
      <c r="J59" s="657"/>
      <c r="K59" s="657"/>
      <c r="L59" s="657"/>
      <c r="M59" s="657"/>
      <c r="N59" s="657"/>
      <c r="O59" s="657"/>
      <c r="P59" s="657"/>
      <c r="Q59" s="658"/>
      <c r="R59" s="543"/>
      <c r="S59" s="543"/>
      <c r="T59" s="543"/>
      <c r="U59" s="543"/>
      <c r="V59" s="543"/>
      <c r="W59" s="543"/>
      <c r="X59" s="543"/>
      <c r="Y59" s="543"/>
      <c r="Z59" s="543"/>
      <c r="AA59" s="543"/>
    </row>
    <row r="60" spans="1:27" ht="18.75" customHeight="1" x14ac:dyDescent="0.3">
      <c r="A60" s="678" t="s">
        <v>1</v>
      </c>
      <c r="B60" s="679"/>
      <c r="C60" s="679"/>
      <c r="D60" s="679"/>
      <c r="E60" s="679"/>
      <c r="F60" s="679"/>
      <c r="G60" s="679"/>
      <c r="H60" s="679"/>
      <c r="I60" s="679"/>
      <c r="J60" s="679"/>
      <c r="K60" s="679"/>
      <c r="L60" s="679"/>
      <c r="M60" s="679"/>
      <c r="N60" s="679"/>
      <c r="O60" s="679"/>
      <c r="P60" s="679"/>
      <c r="Q60" s="680"/>
    </row>
    <row r="61" spans="1:27" ht="3" customHeight="1" thickBot="1" x14ac:dyDescent="0.4">
      <c r="A61" s="682"/>
      <c r="B61" s="682"/>
      <c r="C61" s="682"/>
      <c r="D61" s="682"/>
      <c r="E61" s="682"/>
      <c r="F61" s="682"/>
      <c r="G61" s="682"/>
      <c r="H61" s="682"/>
      <c r="I61" s="682"/>
      <c r="J61" s="682"/>
      <c r="K61" s="682"/>
      <c r="L61" s="682"/>
      <c r="M61" s="682"/>
      <c r="N61" s="682"/>
      <c r="O61" s="682"/>
      <c r="P61" s="682"/>
      <c r="Q61" s="682"/>
    </row>
    <row r="62" spans="1:27" ht="14.25" customHeight="1" thickBot="1" x14ac:dyDescent="0.3">
      <c r="A62" s="669" t="s">
        <v>90</v>
      </c>
      <c r="B62" s="670"/>
      <c r="C62" s="670"/>
      <c r="D62" s="670"/>
      <c r="E62" s="670"/>
      <c r="F62" s="670"/>
      <c r="G62" s="671"/>
      <c r="H62" s="640"/>
      <c r="I62" s="767" t="s">
        <v>91</v>
      </c>
      <c r="J62" s="768"/>
      <c r="K62" s="768"/>
      <c r="L62" s="768"/>
      <c r="M62" s="768"/>
      <c r="N62" s="768"/>
      <c r="O62" s="768"/>
      <c r="P62" s="768"/>
      <c r="Q62" s="769"/>
    </row>
    <row r="63" spans="1:27" ht="12.75" customHeight="1" x14ac:dyDescent="0.25">
      <c r="A63" s="743" t="s">
        <v>92</v>
      </c>
      <c r="B63" s="744"/>
      <c r="C63" s="744"/>
      <c r="D63" s="744"/>
      <c r="E63" s="744"/>
      <c r="F63" s="744"/>
      <c r="G63" s="803"/>
      <c r="H63" s="640"/>
      <c r="I63" s="711" t="s">
        <v>93</v>
      </c>
      <c r="J63" s="712"/>
      <c r="K63" s="712"/>
      <c r="L63" s="712"/>
      <c r="M63" s="35" t="s">
        <v>94</v>
      </c>
      <c r="N63" s="712" t="s">
        <v>95</v>
      </c>
      <c r="O63" s="712"/>
      <c r="P63" s="35" t="s">
        <v>96</v>
      </c>
      <c r="Q63" s="11" t="s">
        <v>27</v>
      </c>
    </row>
    <row r="64" spans="1:27" ht="12.75" customHeight="1" x14ac:dyDescent="0.25">
      <c r="A64" s="688"/>
      <c r="B64" s="689"/>
      <c r="C64" s="686" t="s">
        <v>747</v>
      </c>
      <c r="D64" s="686"/>
      <c r="E64" s="686"/>
      <c r="F64" s="686"/>
      <c r="G64" s="687"/>
      <c r="H64" s="640"/>
      <c r="I64" s="637"/>
      <c r="J64" s="638"/>
      <c r="K64" s="638"/>
      <c r="L64" s="638"/>
      <c r="M64" s="34"/>
      <c r="N64" s="638"/>
      <c r="O64" s="638"/>
      <c r="P64" s="292"/>
      <c r="Q64" s="42"/>
    </row>
    <row r="65" spans="1:17" ht="12.75" customHeight="1" x14ac:dyDescent="0.25">
      <c r="A65" s="688"/>
      <c r="B65" s="689"/>
      <c r="C65" s="686" t="s">
        <v>741</v>
      </c>
      <c r="D65" s="686"/>
      <c r="E65" s="686"/>
      <c r="F65" s="686"/>
      <c r="G65" s="687"/>
      <c r="H65" s="640"/>
      <c r="I65" s="637"/>
      <c r="J65" s="638"/>
      <c r="K65" s="638"/>
      <c r="L65" s="638"/>
      <c r="M65" s="34"/>
      <c r="N65" s="638"/>
      <c r="O65" s="638"/>
      <c r="P65" s="292"/>
      <c r="Q65" s="42"/>
    </row>
    <row r="66" spans="1:17" ht="12.75" customHeight="1" x14ac:dyDescent="0.25">
      <c r="A66" s="688"/>
      <c r="B66" s="689"/>
      <c r="C66" s="686" t="s">
        <v>742</v>
      </c>
      <c r="D66" s="686"/>
      <c r="E66" s="686"/>
      <c r="F66" s="686"/>
      <c r="G66" s="687"/>
      <c r="H66" s="640"/>
      <c r="I66" s="637"/>
      <c r="J66" s="638"/>
      <c r="K66" s="638"/>
      <c r="L66" s="638"/>
      <c r="M66" s="34"/>
      <c r="N66" s="638"/>
      <c r="O66" s="638"/>
      <c r="P66" s="292"/>
      <c r="Q66" s="42"/>
    </row>
    <row r="67" spans="1:17" ht="12.75" customHeight="1" x14ac:dyDescent="0.25">
      <c r="A67" s="688"/>
      <c r="B67" s="689"/>
      <c r="C67" s="686" t="s">
        <v>743</v>
      </c>
      <c r="D67" s="686"/>
      <c r="E67" s="686"/>
      <c r="F67" s="686"/>
      <c r="G67" s="687"/>
      <c r="H67" s="640"/>
      <c r="I67" s="637"/>
      <c r="J67" s="638"/>
      <c r="K67" s="638"/>
      <c r="L67" s="638"/>
      <c r="M67" s="34"/>
      <c r="N67" s="638"/>
      <c r="O67" s="638"/>
      <c r="P67" s="292"/>
      <c r="Q67" s="42"/>
    </row>
    <row r="68" spans="1:17" ht="12.75" customHeight="1" x14ac:dyDescent="0.25">
      <c r="A68" s="688"/>
      <c r="B68" s="689"/>
      <c r="C68" s="686" t="s">
        <v>744</v>
      </c>
      <c r="D68" s="686"/>
      <c r="E68" s="686"/>
      <c r="F68" s="686"/>
      <c r="G68" s="687"/>
      <c r="H68" s="640"/>
      <c r="I68" s="637"/>
      <c r="J68" s="638"/>
      <c r="K68" s="638"/>
      <c r="L68" s="638"/>
      <c r="M68" s="34"/>
      <c r="N68" s="638"/>
      <c r="O68" s="638"/>
      <c r="P68" s="292"/>
      <c r="Q68" s="42"/>
    </row>
    <row r="69" spans="1:17" ht="12.75" customHeight="1" x14ac:dyDescent="0.25">
      <c r="A69" s="688"/>
      <c r="B69" s="689"/>
      <c r="C69" s="686" t="s">
        <v>745</v>
      </c>
      <c r="D69" s="686"/>
      <c r="E69" s="686"/>
      <c r="F69" s="686"/>
      <c r="G69" s="687"/>
      <c r="H69" s="640"/>
      <c r="I69" s="637"/>
      <c r="J69" s="638"/>
      <c r="K69" s="638"/>
      <c r="L69" s="638"/>
      <c r="M69" s="34"/>
      <c r="N69" s="638"/>
      <c r="O69" s="638"/>
      <c r="P69" s="292"/>
      <c r="Q69" s="42"/>
    </row>
    <row r="70" spans="1:17" ht="12.75" customHeight="1" x14ac:dyDescent="0.25">
      <c r="A70" s="688"/>
      <c r="B70" s="689"/>
      <c r="C70" s="686" t="s">
        <v>739</v>
      </c>
      <c r="D70" s="686"/>
      <c r="E70" s="686"/>
      <c r="F70" s="686"/>
      <c r="G70" s="687"/>
      <c r="H70" s="640"/>
      <c r="I70" s="637"/>
      <c r="J70" s="638"/>
      <c r="K70" s="638"/>
      <c r="L70" s="638"/>
      <c r="M70" s="34"/>
      <c r="N70" s="638"/>
      <c r="O70" s="638"/>
      <c r="P70" s="292"/>
      <c r="Q70" s="42"/>
    </row>
    <row r="71" spans="1:17" ht="12.75" customHeight="1" x14ac:dyDescent="0.25">
      <c r="A71" s="688"/>
      <c r="B71" s="689"/>
      <c r="C71" s="686" t="s">
        <v>738</v>
      </c>
      <c r="D71" s="686"/>
      <c r="E71" s="686"/>
      <c r="F71" s="686"/>
      <c r="G71" s="687"/>
      <c r="H71" s="640"/>
      <c r="I71" s="637"/>
      <c r="J71" s="638"/>
      <c r="K71" s="638"/>
      <c r="L71" s="638"/>
      <c r="M71" s="34"/>
      <c r="N71" s="638"/>
      <c r="O71" s="638"/>
      <c r="P71" s="292"/>
      <c r="Q71" s="42"/>
    </row>
    <row r="72" spans="1:17" ht="12.75" customHeight="1" x14ac:dyDescent="0.25">
      <c r="A72" s="688"/>
      <c r="B72" s="689"/>
      <c r="C72" s="686" t="s">
        <v>737</v>
      </c>
      <c r="D72" s="686"/>
      <c r="E72" s="686"/>
      <c r="F72" s="686"/>
      <c r="G72" s="687"/>
      <c r="H72" s="640"/>
      <c r="I72" s="637"/>
      <c r="J72" s="638"/>
      <c r="K72" s="638"/>
      <c r="L72" s="638"/>
      <c r="M72" s="34"/>
      <c r="N72" s="638"/>
      <c r="O72" s="638"/>
      <c r="P72" s="292"/>
      <c r="Q72" s="42"/>
    </row>
    <row r="73" spans="1:17" ht="12.75" customHeight="1" thickBot="1" x14ac:dyDescent="0.3">
      <c r="A73" s="688"/>
      <c r="B73" s="689"/>
      <c r="C73" s="690" t="s">
        <v>740</v>
      </c>
      <c r="D73" s="690"/>
      <c r="E73" s="690"/>
      <c r="F73" s="690"/>
      <c r="G73" s="691"/>
      <c r="H73" s="640"/>
      <c r="I73" s="637"/>
      <c r="J73" s="638"/>
      <c r="K73" s="638"/>
      <c r="L73" s="638"/>
      <c r="M73" s="34"/>
      <c r="N73" s="638"/>
      <c r="O73" s="638"/>
      <c r="P73" s="292"/>
      <c r="Q73" s="42"/>
    </row>
    <row r="74" spans="1:17" ht="12.75" customHeight="1" thickBot="1" x14ac:dyDescent="0.3">
      <c r="A74" s="793">
        <f>SUM(A64:A73)</f>
        <v>0</v>
      </c>
      <c r="B74" s="794"/>
      <c r="C74" s="791" t="s">
        <v>746</v>
      </c>
      <c r="D74" s="791"/>
      <c r="E74" s="791"/>
      <c r="F74" s="791"/>
      <c r="G74" s="792"/>
      <c r="H74" s="640"/>
      <c r="I74" s="637"/>
      <c r="J74" s="638"/>
      <c r="K74" s="638"/>
      <c r="L74" s="638"/>
      <c r="M74" s="34"/>
      <c r="N74" s="638"/>
      <c r="O74" s="638"/>
      <c r="P74" s="292"/>
      <c r="Q74" s="42"/>
    </row>
    <row r="75" spans="1:17" ht="12.75" customHeight="1" x14ac:dyDescent="0.25">
      <c r="A75" s="800" t="s">
        <v>97</v>
      </c>
      <c r="B75" s="801"/>
      <c r="C75" s="801"/>
      <c r="D75" s="801"/>
      <c r="E75" s="801"/>
      <c r="F75" s="801"/>
      <c r="G75" s="802"/>
      <c r="H75" s="640"/>
      <c r="I75" s="637"/>
      <c r="J75" s="638"/>
      <c r="K75" s="638"/>
      <c r="L75" s="638"/>
      <c r="M75" s="34"/>
      <c r="N75" s="638"/>
      <c r="O75" s="638"/>
      <c r="P75" s="292"/>
      <c r="Q75" s="42"/>
    </row>
    <row r="76" spans="1:17" ht="12.75" customHeight="1" x14ac:dyDescent="0.25">
      <c r="A76" s="20"/>
      <c r="B76" s="654"/>
      <c r="C76" s="654"/>
      <c r="D76" s="674"/>
      <c r="E76" s="19"/>
      <c r="F76" s="654"/>
      <c r="G76" s="655"/>
      <c r="H76" s="640"/>
      <c r="I76" s="637"/>
      <c r="J76" s="638"/>
      <c r="K76" s="638"/>
      <c r="L76" s="638"/>
      <c r="M76" s="34"/>
      <c r="N76" s="638"/>
      <c r="O76" s="638"/>
      <c r="P76" s="292"/>
      <c r="Q76" s="42"/>
    </row>
    <row r="77" spans="1:17" ht="12.75" customHeight="1" x14ac:dyDescent="0.25">
      <c r="A77" s="20"/>
      <c r="B77" s="654"/>
      <c r="C77" s="654"/>
      <c r="D77" s="674"/>
      <c r="E77" s="19"/>
      <c r="F77" s="654"/>
      <c r="G77" s="655"/>
      <c r="H77" s="640"/>
      <c r="I77" s="637"/>
      <c r="J77" s="638"/>
      <c r="K77" s="638"/>
      <c r="L77" s="638"/>
      <c r="M77" s="34"/>
      <c r="N77" s="638"/>
      <c r="O77" s="638"/>
      <c r="P77" s="292"/>
      <c r="Q77" s="42"/>
    </row>
    <row r="78" spans="1:17" ht="12.75" customHeight="1" x14ac:dyDescent="0.25">
      <c r="A78" s="20"/>
      <c r="B78" s="654"/>
      <c r="C78" s="654"/>
      <c r="D78" s="674"/>
      <c r="E78" s="19"/>
      <c r="F78" s="654"/>
      <c r="G78" s="655"/>
      <c r="H78" s="640"/>
      <c r="I78" s="637"/>
      <c r="J78" s="638"/>
      <c r="K78" s="638"/>
      <c r="L78" s="638"/>
      <c r="M78" s="34"/>
      <c r="N78" s="638"/>
      <c r="O78" s="638"/>
      <c r="P78" s="292"/>
      <c r="Q78" s="42"/>
    </row>
    <row r="79" spans="1:17" ht="12.75" customHeight="1" x14ac:dyDescent="0.25">
      <c r="A79" s="20"/>
      <c r="B79" s="654"/>
      <c r="C79" s="654"/>
      <c r="D79" s="674"/>
      <c r="E79" s="19"/>
      <c r="F79" s="654"/>
      <c r="G79" s="655"/>
      <c r="H79" s="640"/>
      <c r="I79" s="637"/>
      <c r="J79" s="638"/>
      <c r="K79" s="638"/>
      <c r="L79" s="638"/>
      <c r="M79" s="34"/>
      <c r="N79" s="638"/>
      <c r="O79" s="638"/>
      <c r="P79" s="292"/>
      <c r="Q79" s="42"/>
    </row>
    <row r="80" spans="1:17" ht="12.75" customHeight="1" x14ac:dyDescent="0.25">
      <c r="A80" s="20"/>
      <c r="B80" s="654"/>
      <c r="C80" s="654"/>
      <c r="D80" s="674"/>
      <c r="E80" s="19"/>
      <c r="F80" s="654"/>
      <c r="G80" s="655"/>
      <c r="H80" s="640"/>
      <c r="I80" s="637"/>
      <c r="J80" s="638"/>
      <c r="K80" s="638"/>
      <c r="L80" s="638"/>
      <c r="M80" s="34"/>
      <c r="N80" s="638"/>
      <c r="O80" s="638"/>
      <c r="P80" s="292"/>
      <c r="Q80" s="42"/>
    </row>
    <row r="81" spans="1:17" ht="12.75" customHeight="1" x14ac:dyDescent="0.25">
      <c r="A81" s="20"/>
      <c r="B81" s="654"/>
      <c r="C81" s="654"/>
      <c r="D81" s="674"/>
      <c r="E81" s="19"/>
      <c r="F81" s="654"/>
      <c r="G81" s="655"/>
      <c r="H81" s="640"/>
      <c r="I81" s="637"/>
      <c r="J81" s="638"/>
      <c r="K81" s="638"/>
      <c r="L81" s="638"/>
      <c r="M81" s="34"/>
      <c r="N81" s="638"/>
      <c r="O81" s="638"/>
      <c r="P81" s="292"/>
      <c r="Q81" s="42"/>
    </row>
    <row r="82" spans="1:17" ht="12.75" customHeight="1" thickBot="1" x14ac:dyDescent="0.3">
      <c r="A82" s="21"/>
      <c r="B82" s="657"/>
      <c r="C82" s="657"/>
      <c r="D82" s="790"/>
      <c r="E82" s="22"/>
      <c r="F82" s="657"/>
      <c r="G82" s="658"/>
      <c r="H82" s="640"/>
      <c r="I82" s="637"/>
      <c r="J82" s="638"/>
      <c r="K82" s="638"/>
      <c r="L82" s="638"/>
      <c r="M82" s="34"/>
      <c r="N82" s="638"/>
      <c r="O82" s="638"/>
      <c r="P82" s="292"/>
      <c r="Q82" s="42"/>
    </row>
    <row r="83" spans="1:17" ht="12.75" customHeight="1" x14ac:dyDescent="0.25">
      <c r="A83" s="787" t="s">
        <v>98</v>
      </c>
      <c r="B83" s="788"/>
      <c r="C83" s="788"/>
      <c r="D83" s="788"/>
      <c r="E83" s="788"/>
      <c r="F83" s="788"/>
      <c r="G83" s="789"/>
      <c r="H83" s="640"/>
      <c r="I83" s="637"/>
      <c r="J83" s="638"/>
      <c r="K83" s="638"/>
      <c r="L83" s="638"/>
      <c r="M83" s="34"/>
      <c r="N83" s="638"/>
      <c r="O83" s="638"/>
      <c r="P83" s="292"/>
      <c r="Q83" s="42"/>
    </row>
    <row r="84" spans="1:17" ht="12.75" customHeight="1" x14ac:dyDescent="0.25">
      <c r="A84" s="637"/>
      <c r="B84" s="638"/>
      <c r="C84" s="638"/>
      <c r="D84" s="638"/>
      <c r="E84" s="638"/>
      <c r="F84" s="638"/>
      <c r="G84" s="708"/>
      <c r="H84" s="640"/>
      <c r="I84" s="637"/>
      <c r="J84" s="638"/>
      <c r="K84" s="638"/>
      <c r="L84" s="638"/>
      <c r="M84" s="34"/>
      <c r="N84" s="638"/>
      <c r="O84" s="638"/>
      <c r="P84" s="292"/>
      <c r="Q84" s="42"/>
    </row>
    <row r="85" spans="1:17" ht="12.75" customHeight="1" x14ac:dyDescent="0.25">
      <c r="A85" s="637"/>
      <c r="B85" s="638"/>
      <c r="C85" s="638"/>
      <c r="D85" s="638"/>
      <c r="E85" s="638"/>
      <c r="F85" s="638"/>
      <c r="G85" s="708"/>
      <c r="H85" s="640"/>
      <c r="I85" s="637"/>
      <c r="J85" s="638"/>
      <c r="K85" s="638"/>
      <c r="L85" s="638"/>
      <c r="M85" s="34"/>
      <c r="N85" s="638"/>
      <c r="O85" s="638"/>
      <c r="P85" s="292"/>
      <c r="Q85" s="42"/>
    </row>
    <row r="86" spans="1:17" ht="12.75" customHeight="1" x14ac:dyDescent="0.25">
      <c r="A86" s="637"/>
      <c r="B86" s="638"/>
      <c r="C86" s="638"/>
      <c r="D86" s="638"/>
      <c r="E86" s="638"/>
      <c r="F86" s="638"/>
      <c r="G86" s="708"/>
      <c r="H86" s="640"/>
      <c r="I86" s="637"/>
      <c r="J86" s="638"/>
      <c r="K86" s="638"/>
      <c r="L86" s="638"/>
      <c r="M86" s="34"/>
      <c r="N86" s="638"/>
      <c r="O86" s="638"/>
      <c r="P86" s="292"/>
      <c r="Q86" s="42"/>
    </row>
    <row r="87" spans="1:17" ht="12.75" customHeight="1" x14ac:dyDescent="0.25">
      <c r="A87" s="637"/>
      <c r="B87" s="638"/>
      <c r="C87" s="638"/>
      <c r="D87" s="638"/>
      <c r="E87" s="638"/>
      <c r="F87" s="638"/>
      <c r="G87" s="708"/>
      <c r="H87" s="640"/>
      <c r="I87" s="637"/>
      <c r="J87" s="638"/>
      <c r="K87" s="638"/>
      <c r="L87" s="638"/>
      <c r="M87" s="34"/>
      <c r="N87" s="638"/>
      <c r="O87" s="638"/>
      <c r="P87" s="292"/>
      <c r="Q87" s="42"/>
    </row>
    <row r="88" spans="1:17" ht="12.75" customHeight="1" x14ac:dyDescent="0.25">
      <c r="A88" s="637"/>
      <c r="B88" s="638"/>
      <c r="C88" s="638"/>
      <c r="D88" s="638"/>
      <c r="E88" s="638"/>
      <c r="F88" s="638"/>
      <c r="G88" s="708"/>
      <c r="H88" s="640"/>
      <c r="I88" s="637"/>
      <c r="J88" s="638"/>
      <c r="K88" s="638"/>
      <c r="L88" s="638"/>
      <c r="M88" s="34"/>
      <c r="N88" s="638"/>
      <c r="O88" s="638"/>
      <c r="P88" s="292"/>
      <c r="Q88" s="42"/>
    </row>
    <row r="89" spans="1:17" ht="12.75" customHeight="1" x14ac:dyDescent="0.25">
      <c r="A89" s="637"/>
      <c r="B89" s="638"/>
      <c r="C89" s="638"/>
      <c r="D89" s="638"/>
      <c r="E89" s="638"/>
      <c r="F89" s="638"/>
      <c r="G89" s="708"/>
      <c r="H89" s="640"/>
      <c r="I89" s="637"/>
      <c r="J89" s="638"/>
      <c r="K89" s="638"/>
      <c r="L89" s="638"/>
      <c r="M89" s="34"/>
      <c r="N89" s="638"/>
      <c r="O89" s="638"/>
      <c r="P89" s="292"/>
      <c r="Q89" s="42"/>
    </row>
    <row r="90" spans="1:17" ht="12.75" customHeight="1" x14ac:dyDescent="0.25">
      <c r="A90" s="637"/>
      <c r="B90" s="638"/>
      <c r="C90" s="638"/>
      <c r="D90" s="638"/>
      <c r="E90" s="638"/>
      <c r="F90" s="638"/>
      <c r="G90" s="708"/>
      <c r="H90" s="640"/>
      <c r="I90" s="637"/>
      <c r="J90" s="638"/>
      <c r="K90" s="638"/>
      <c r="L90" s="638"/>
      <c r="M90" s="34"/>
      <c r="N90" s="638"/>
      <c r="O90" s="638"/>
      <c r="P90" s="292"/>
      <c r="Q90" s="42"/>
    </row>
    <row r="91" spans="1:17" ht="12.75" customHeight="1" x14ac:dyDescent="0.25">
      <c r="A91" s="637"/>
      <c r="B91" s="638"/>
      <c r="C91" s="638"/>
      <c r="D91" s="638"/>
      <c r="E91" s="638"/>
      <c r="F91" s="638"/>
      <c r="G91" s="708"/>
      <c r="H91" s="640"/>
      <c r="I91" s="637"/>
      <c r="J91" s="638"/>
      <c r="K91" s="638"/>
      <c r="L91" s="638"/>
      <c r="M91" s="34"/>
      <c r="N91" s="638"/>
      <c r="O91" s="638"/>
      <c r="P91" s="292"/>
      <c r="Q91" s="42"/>
    </row>
    <row r="92" spans="1:17" ht="12.75" customHeight="1" x14ac:dyDescent="0.25">
      <c r="A92" s="637"/>
      <c r="B92" s="638"/>
      <c r="C92" s="638"/>
      <c r="D92" s="638"/>
      <c r="E92" s="638"/>
      <c r="F92" s="638"/>
      <c r="G92" s="708"/>
      <c r="H92" s="640"/>
      <c r="I92" s="637"/>
      <c r="J92" s="638"/>
      <c r="K92" s="638"/>
      <c r="L92" s="638"/>
      <c r="M92" s="34"/>
      <c r="N92" s="638"/>
      <c r="O92" s="638"/>
      <c r="P92" s="292"/>
      <c r="Q92" s="42"/>
    </row>
    <row r="93" spans="1:17" ht="12.75" customHeight="1" thickBot="1" x14ac:dyDescent="0.3">
      <c r="A93" s="776"/>
      <c r="B93" s="714"/>
      <c r="C93" s="714"/>
      <c r="D93" s="714"/>
      <c r="E93" s="714"/>
      <c r="F93" s="714"/>
      <c r="G93" s="777"/>
      <c r="H93" s="640"/>
      <c r="I93" s="637"/>
      <c r="J93" s="638"/>
      <c r="K93" s="638"/>
      <c r="L93" s="638"/>
      <c r="M93" s="778"/>
      <c r="N93" s="638"/>
      <c r="O93" s="638"/>
      <c r="P93" s="692"/>
      <c r="Q93" s="693"/>
    </row>
    <row r="94" spans="1:17" ht="1.5" customHeight="1" x14ac:dyDescent="0.25">
      <c r="A94" s="641"/>
      <c r="B94" s="641"/>
      <c r="C94" s="641"/>
      <c r="D94" s="641"/>
      <c r="E94" s="641"/>
      <c r="F94" s="641"/>
      <c r="G94" s="641"/>
      <c r="H94" s="640"/>
      <c r="I94" s="637"/>
      <c r="J94" s="638"/>
      <c r="K94" s="638"/>
      <c r="L94" s="638"/>
      <c r="M94" s="778"/>
      <c r="N94" s="638"/>
      <c r="O94" s="638"/>
      <c r="P94" s="692"/>
      <c r="Q94" s="693"/>
    </row>
    <row r="95" spans="1:17" ht="2.25" customHeight="1" thickBot="1" x14ac:dyDescent="0.3">
      <c r="A95" s="639"/>
      <c r="B95" s="639"/>
      <c r="C95" s="639"/>
      <c r="D95" s="639"/>
      <c r="E95" s="639"/>
      <c r="F95" s="639"/>
      <c r="G95" s="639"/>
      <c r="H95" s="640"/>
      <c r="I95" s="637"/>
      <c r="J95" s="638"/>
      <c r="K95" s="638"/>
      <c r="L95" s="638"/>
      <c r="M95" s="778"/>
      <c r="N95" s="638"/>
      <c r="O95" s="638"/>
      <c r="P95" s="692"/>
      <c r="Q95" s="693"/>
    </row>
    <row r="96" spans="1:17" ht="12.75" customHeight="1" thickBot="1" x14ac:dyDescent="0.3">
      <c r="A96" s="669" t="s">
        <v>99</v>
      </c>
      <c r="B96" s="670"/>
      <c r="C96" s="670"/>
      <c r="D96" s="670"/>
      <c r="E96" s="670"/>
      <c r="F96" s="670"/>
      <c r="G96" s="671"/>
      <c r="H96" s="640"/>
      <c r="I96" s="637"/>
      <c r="J96" s="638"/>
      <c r="K96" s="638"/>
      <c r="L96" s="638"/>
      <c r="M96" s="778"/>
      <c r="N96" s="638"/>
      <c r="O96" s="638"/>
      <c r="P96" s="692"/>
      <c r="Q96" s="693"/>
    </row>
    <row r="97" spans="1:17" ht="12.75" customHeight="1" x14ac:dyDescent="0.25">
      <c r="A97" s="779" t="s">
        <v>5</v>
      </c>
      <c r="B97" s="635"/>
      <c r="C97" s="636"/>
      <c r="D97" s="784"/>
      <c r="E97" s="784"/>
      <c r="F97" s="784"/>
      <c r="G97" s="785"/>
      <c r="H97" s="640"/>
      <c r="I97" s="637"/>
      <c r="J97" s="638"/>
      <c r="K97" s="638"/>
      <c r="L97" s="638"/>
      <c r="M97" s="34"/>
      <c r="N97" s="638"/>
      <c r="O97" s="638"/>
      <c r="P97" s="292"/>
      <c r="Q97" s="42"/>
    </row>
    <row r="98" spans="1:17" ht="12.75" customHeight="1" x14ac:dyDescent="0.25">
      <c r="A98" s="770" t="s">
        <v>100</v>
      </c>
      <c r="B98" s="699"/>
      <c r="C98" s="695"/>
      <c r="D98" s="638"/>
      <c r="E98" s="638"/>
      <c r="F98" s="638"/>
      <c r="G98" s="708"/>
      <c r="H98" s="640"/>
      <c r="I98" s="637"/>
      <c r="J98" s="638"/>
      <c r="K98" s="638"/>
      <c r="L98" s="638"/>
      <c r="M98" s="34"/>
      <c r="N98" s="638"/>
      <c r="O98" s="638"/>
      <c r="P98" s="292"/>
      <c r="Q98" s="42"/>
    </row>
    <row r="99" spans="1:17" ht="12.75" customHeight="1" x14ac:dyDescent="0.25">
      <c r="A99" s="770" t="s">
        <v>101</v>
      </c>
      <c r="B99" s="699"/>
      <c r="C99" s="695"/>
      <c r="D99" s="32"/>
      <c r="E99" s="701" t="s">
        <v>20</v>
      </c>
      <c r="F99" s="701"/>
      <c r="G99" s="33"/>
      <c r="H99" s="640"/>
      <c r="I99" s="637"/>
      <c r="J99" s="638"/>
      <c r="K99" s="638"/>
      <c r="L99" s="638"/>
      <c r="M99" s="34"/>
      <c r="N99" s="638"/>
      <c r="O99" s="638"/>
      <c r="P99" s="292"/>
      <c r="Q99" s="42"/>
    </row>
    <row r="100" spans="1:17" ht="12.75" customHeight="1" x14ac:dyDescent="0.25">
      <c r="A100" s="770" t="s">
        <v>72</v>
      </c>
      <c r="B100" s="699"/>
      <c r="C100" s="695"/>
      <c r="D100" s="32"/>
      <c r="E100" s="701" t="s">
        <v>73</v>
      </c>
      <c r="F100" s="701"/>
      <c r="G100" s="33"/>
      <c r="H100" s="640"/>
      <c r="I100" s="637"/>
      <c r="J100" s="638"/>
      <c r="K100" s="638"/>
      <c r="L100" s="638"/>
      <c r="M100" s="34"/>
      <c r="N100" s="638"/>
      <c r="O100" s="638"/>
      <c r="P100" s="292"/>
      <c r="Q100" s="42"/>
    </row>
    <row r="101" spans="1:17" ht="12.75" customHeight="1" x14ac:dyDescent="0.25">
      <c r="A101" s="770" t="s">
        <v>102</v>
      </c>
      <c r="B101" s="699"/>
      <c r="C101" s="695"/>
      <c r="D101" s="32"/>
      <c r="E101" s="701" t="s">
        <v>74</v>
      </c>
      <c r="F101" s="701"/>
      <c r="G101" s="33"/>
      <c r="H101" s="640"/>
      <c r="I101" s="637"/>
      <c r="J101" s="638"/>
      <c r="K101" s="638"/>
      <c r="L101" s="638"/>
      <c r="M101" s="34"/>
      <c r="N101" s="638"/>
      <c r="O101" s="638"/>
      <c r="P101" s="292"/>
      <c r="Q101" s="42"/>
    </row>
    <row r="102" spans="1:17" ht="12.75" customHeight="1" x14ac:dyDescent="0.25">
      <c r="A102" s="770" t="s">
        <v>75</v>
      </c>
      <c r="B102" s="699"/>
      <c r="C102" s="695"/>
      <c r="D102" s="32"/>
      <c r="E102" s="701" t="s">
        <v>76</v>
      </c>
      <c r="F102" s="701"/>
      <c r="G102" s="33"/>
      <c r="H102" s="640"/>
      <c r="I102" s="637"/>
      <c r="J102" s="638"/>
      <c r="K102" s="638"/>
      <c r="L102" s="638"/>
      <c r="M102" s="34"/>
      <c r="N102" s="638"/>
      <c r="O102" s="638"/>
      <c r="P102" s="292"/>
      <c r="Q102" s="42"/>
    </row>
    <row r="103" spans="1:17" ht="12.75" customHeight="1" x14ac:dyDescent="0.25">
      <c r="A103" s="770" t="s">
        <v>77</v>
      </c>
      <c r="B103" s="699"/>
      <c r="C103" s="695"/>
      <c r="D103" s="32"/>
      <c r="E103" s="701" t="s">
        <v>78</v>
      </c>
      <c r="F103" s="701"/>
      <c r="G103" s="33"/>
      <c r="H103" s="640"/>
      <c r="I103" s="637"/>
      <c r="J103" s="638"/>
      <c r="K103" s="638"/>
      <c r="L103" s="638"/>
      <c r="M103" s="34"/>
      <c r="N103" s="638"/>
      <c r="O103" s="638"/>
      <c r="P103" s="292"/>
      <c r="Q103" s="42"/>
    </row>
    <row r="104" spans="1:17" ht="12.75" customHeight="1" x14ac:dyDescent="0.25">
      <c r="A104" s="770" t="s">
        <v>85</v>
      </c>
      <c r="B104" s="699"/>
      <c r="C104" s="695"/>
      <c r="D104" s="638"/>
      <c r="E104" s="638"/>
      <c r="F104" s="638"/>
      <c r="G104" s="708"/>
      <c r="H104" s="640"/>
      <c r="I104" s="637"/>
      <c r="J104" s="638"/>
      <c r="K104" s="638"/>
      <c r="L104" s="638"/>
      <c r="M104" s="34"/>
      <c r="N104" s="638"/>
      <c r="O104" s="638"/>
      <c r="P104" s="292"/>
      <c r="Q104" s="42"/>
    </row>
    <row r="105" spans="1:17" ht="12.75" customHeight="1" thickBot="1" x14ac:dyDescent="0.3">
      <c r="A105" s="770" t="s">
        <v>103</v>
      </c>
      <c r="B105" s="699"/>
      <c r="C105" s="695"/>
      <c r="D105" s="753"/>
      <c r="E105" s="654"/>
      <c r="F105" s="654"/>
      <c r="G105" s="655"/>
      <c r="H105" s="640"/>
      <c r="I105" s="786"/>
      <c r="J105" s="780"/>
      <c r="K105" s="780"/>
      <c r="L105" s="780"/>
      <c r="M105" s="23"/>
      <c r="N105" s="780"/>
      <c r="O105" s="780"/>
      <c r="P105" s="293"/>
      <c r="Q105" s="24"/>
    </row>
    <row r="106" spans="1:17" ht="12.75" customHeight="1" thickBot="1" x14ac:dyDescent="0.3">
      <c r="A106" s="776"/>
      <c r="B106" s="714"/>
      <c r="C106" s="714"/>
      <c r="D106" s="714"/>
      <c r="E106" s="714"/>
      <c r="F106" s="714"/>
      <c r="G106" s="777"/>
      <c r="H106" s="640"/>
      <c r="I106" s="781" t="s">
        <v>104</v>
      </c>
      <c r="J106" s="782"/>
      <c r="K106" s="782"/>
      <c r="L106" s="782"/>
      <c r="M106" s="97">
        <f>SUM(M64:M105)</f>
        <v>0</v>
      </c>
      <c r="N106" s="783" t="s">
        <v>105</v>
      </c>
      <c r="O106" s="783"/>
      <c r="P106" s="294">
        <f>SUM(P64:P105)</f>
        <v>0</v>
      </c>
      <c r="Q106" s="98">
        <f>SUM(Q64:Q105)</f>
        <v>0</v>
      </c>
    </row>
    <row r="107" spans="1:17" ht="3.75" customHeight="1" thickBot="1" x14ac:dyDescent="0.3">
      <c r="A107" s="639"/>
      <c r="B107" s="639"/>
      <c r="C107" s="639"/>
      <c r="D107" s="639"/>
      <c r="E107" s="639"/>
      <c r="F107" s="639"/>
      <c r="G107" s="639"/>
      <c r="H107" s="639"/>
      <c r="I107" s="639"/>
      <c r="J107" s="639"/>
      <c r="K107" s="639"/>
      <c r="L107" s="639"/>
      <c r="M107" s="639"/>
      <c r="N107" s="639"/>
      <c r="O107" s="639"/>
      <c r="P107" s="639"/>
      <c r="Q107" s="639"/>
    </row>
    <row r="108" spans="1:17" ht="14.25" customHeight="1" thickBot="1" x14ac:dyDescent="0.3">
      <c r="A108" s="669" t="s">
        <v>103</v>
      </c>
      <c r="B108" s="670"/>
      <c r="C108" s="670"/>
      <c r="D108" s="670"/>
      <c r="E108" s="670"/>
      <c r="F108" s="670"/>
      <c r="G108" s="670"/>
      <c r="H108" s="670"/>
      <c r="I108" s="670"/>
      <c r="J108" s="670"/>
      <c r="K108" s="670"/>
      <c r="L108" s="670"/>
      <c r="M108" s="670"/>
      <c r="N108" s="670"/>
      <c r="O108" s="670"/>
      <c r="P108" s="670"/>
      <c r="Q108" s="671"/>
    </row>
    <row r="109" spans="1:17" ht="12.75" customHeight="1" x14ac:dyDescent="0.25">
      <c r="A109" s="799"/>
      <c r="B109" s="717"/>
      <c r="C109" s="717"/>
      <c r="D109" s="717"/>
      <c r="E109" s="717"/>
      <c r="F109" s="717"/>
      <c r="G109" s="717"/>
      <c r="H109" s="717"/>
      <c r="I109" s="717"/>
      <c r="J109" s="717"/>
      <c r="K109" s="717"/>
      <c r="L109" s="717"/>
      <c r="M109" s="717"/>
      <c r="N109" s="717"/>
      <c r="O109" s="717"/>
      <c r="P109" s="717"/>
      <c r="Q109" s="718"/>
    </row>
    <row r="110" spans="1:17" ht="12.75" customHeight="1" x14ac:dyDescent="0.25">
      <c r="A110" s="637"/>
      <c r="B110" s="638"/>
      <c r="C110" s="638"/>
      <c r="D110" s="638"/>
      <c r="E110" s="638"/>
      <c r="F110" s="638"/>
      <c r="G110" s="638"/>
      <c r="H110" s="638"/>
      <c r="I110" s="638"/>
      <c r="J110" s="638"/>
      <c r="K110" s="638"/>
      <c r="L110" s="638"/>
      <c r="M110" s="638"/>
      <c r="N110" s="638"/>
      <c r="O110" s="638"/>
      <c r="P110" s="638"/>
      <c r="Q110" s="708"/>
    </row>
    <row r="111" spans="1:17" ht="12.75" customHeight="1" x14ac:dyDescent="0.25">
      <c r="A111" s="637"/>
      <c r="B111" s="638"/>
      <c r="C111" s="638"/>
      <c r="D111" s="638"/>
      <c r="E111" s="638"/>
      <c r="F111" s="638"/>
      <c r="G111" s="638"/>
      <c r="H111" s="638"/>
      <c r="I111" s="638"/>
      <c r="J111" s="638"/>
      <c r="K111" s="638"/>
      <c r="L111" s="638"/>
      <c r="M111" s="638"/>
      <c r="N111" s="638"/>
      <c r="O111" s="638"/>
      <c r="P111" s="638"/>
      <c r="Q111" s="708"/>
    </row>
    <row r="112" spans="1:17" ht="12.75" customHeight="1" x14ac:dyDescent="0.25">
      <c r="A112" s="637"/>
      <c r="B112" s="638"/>
      <c r="C112" s="638"/>
      <c r="D112" s="638"/>
      <c r="E112" s="638"/>
      <c r="F112" s="638"/>
      <c r="G112" s="638"/>
      <c r="H112" s="638"/>
      <c r="I112" s="638"/>
      <c r="J112" s="638"/>
      <c r="K112" s="638"/>
      <c r="L112" s="638"/>
      <c r="M112" s="638"/>
      <c r="N112" s="638"/>
      <c r="O112" s="638"/>
      <c r="P112" s="638"/>
      <c r="Q112" s="708"/>
    </row>
    <row r="113" spans="1:17" ht="12.75" customHeight="1" x14ac:dyDescent="0.25">
      <c r="A113" s="637"/>
      <c r="B113" s="638"/>
      <c r="C113" s="638"/>
      <c r="D113" s="638"/>
      <c r="E113" s="638"/>
      <c r="F113" s="638"/>
      <c r="G113" s="638"/>
      <c r="H113" s="638"/>
      <c r="I113" s="638"/>
      <c r="J113" s="638"/>
      <c r="K113" s="638"/>
      <c r="L113" s="638"/>
      <c r="M113" s="638"/>
      <c r="N113" s="638"/>
      <c r="O113" s="638"/>
      <c r="P113" s="638"/>
      <c r="Q113" s="708"/>
    </row>
    <row r="114" spans="1:17" ht="12.75" customHeight="1" x14ac:dyDescent="0.25">
      <c r="A114" s="637"/>
      <c r="B114" s="638"/>
      <c r="C114" s="638"/>
      <c r="D114" s="638"/>
      <c r="E114" s="638"/>
      <c r="F114" s="638"/>
      <c r="G114" s="638"/>
      <c r="H114" s="638"/>
      <c r="I114" s="638"/>
      <c r="J114" s="638"/>
      <c r="K114" s="638"/>
      <c r="L114" s="638"/>
      <c r="M114" s="638"/>
      <c r="N114" s="638"/>
      <c r="O114" s="638"/>
      <c r="P114" s="638"/>
      <c r="Q114" s="708"/>
    </row>
    <row r="115" spans="1:17" ht="12.75" customHeight="1" x14ac:dyDescent="0.25">
      <c r="A115" s="637"/>
      <c r="B115" s="638"/>
      <c r="C115" s="638"/>
      <c r="D115" s="638"/>
      <c r="E115" s="638"/>
      <c r="F115" s="638"/>
      <c r="G115" s="638"/>
      <c r="H115" s="638"/>
      <c r="I115" s="638"/>
      <c r="J115" s="638"/>
      <c r="K115" s="638"/>
      <c r="L115" s="638"/>
      <c r="M115" s="638"/>
      <c r="N115" s="638"/>
      <c r="O115" s="638"/>
      <c r="P115" s="638"/>
      <c r="Q115" s="708"/>
    </row>
    <row r="116" spans="1:17" ht="12.75" customHeight="1" x14ac:dyDescent="0.25">
      <c r="A116" s="637"/>
      <c r="B116" s="638"/>
      <c r="C116" s="638"/>
      <c r="D116" s="638"/>
      <c r="E116" s="638"/>
      <c r="F116" s="638"/>
      <c r="G116" s="638"/>
      <c r="H116" s="638"/>
      <c r="I116" s="638"/>
      <c r="J116" s="638"/>
      <c r="K116" s="638"/>
      <c r="L116" s="638"/>
      <c r="M116" s="638"/>
      <c r="N116" s="638"/>
      <c r="O116" s="638"/>
      <c r="P116" s="638"/>
      <c r="Q116" s="708"/>
    </row>
    <row r="117" spans="1:17" ht="12.75" customHeight="1" thickBot="1" x14ac:dyDescent="0.3">
      <c r="A117" s="776"/>
      <c r="B117" s="714"/>
      <c r="C117" s="714"/>
      <c r="D117" s="714"/>
      <c r="E117" s="714"/>
      <c r="F117" s="714"/>
      <c r="G117" s="714"/>
      <c r="H117" s="714"/>
      <c r="I117" s="714"/>
      <c r="J117" s="714"/>
      <c r="K117" s="714"/>
      <c r="L117" s="714"/>
      <c r="M117" s="714"/>
      <c r="N117" s="714"/>
      <c r="O117" s="714"/>
      <c r="P117" s="714"/>
      <c r="Q117" s="777"/>
    </row>
    <row r="118" spans="1:17" ht="12.75" customHeight="1" x14ac:dyDescent="0.25"/>
    <row r="119" spans="1:17" ht="12.75" customHeight="1" x14ac:dyDescent="0.25"/>
    <row r="120" spans="1:17" ht="12.75" customHeight="1" x14ac:dyDescent="0.25"/>
    <row r="121" spans="1:17" ht="12.75" customHeight="1" x14ac:dyDescent="0.25"/>
    <row r="122" spans="1:17" ht="12.75" customHeight="1" x14ac:dyDescent="0.25"/>
    <row r="123" spans="1:17" ht="12.75" customHeight="1" x14ac:dyDescent="0.25"/>
    <row r="124" spans="1:17" ht="12.75" customHeight="1" x14ac:dyDescent="0.25"/>
    <row r="125" spans="1:17" ht="12.75" customHeight="1" x14ac:dyDescent="0.25"/>
    <row r="126" spans="1:17" ht="12.75" customHeight="1" x14ac:dyDescent="0.25"/>
    <row r="127" spans="1:17" ht="12.75" customHeight="1" x14ac:dyDescent="0.25"/>
    <row r="128" spans="1:17" ht="12.75" customHeight="1" x14ac:dyDescent="0.25"/>
    <row r="129" ht="12.75" customHeight="1" x14ac:dyDescent="0.25"/>
    <row r="130" ht="12.75" customHeight="1" x14ac:dyDescent="0.25"/>
    <row r="131" ht="12.75" customHeight="1" x14ac:dyDescent="0.25"/>
    <row r="132" ht="12.75" customHeight="1" x14ac:dyDescent="0.25"/>
    <row r="133" ht="12.75" customHeight="1" x14ac:dyDescent="0.25"/>
    <row r="134" ht="12.75" customHeight="1" x14ac:dyDescent="0.25"/>
    <row r="135" ht="12.75" customHeight="1" x14ac:dyDescent="0.25"/>
    <row r="136" ht="12.75" customHeight="1" x14ac:dyDescent="0.25"/>
    <row r="137" ht="12.75" customHeight="1" x14ac:dyDescent="0.25"/>
    <row r="138" ht="12.75" customHeight="1" x14ac:dyDescent="0.25"/>
    <row r="139" ht="12.75" customHeight="1" x14ac:dyDescent="0.25"/>
    <row r="140" ht="12.75" customHeight="1" x14ac:dyDescent="0.25"/>
    <row r="141" ht="12.75" customHeight="1" x14ac:dyDescent="0.25"/>
    <row r="142" ht="12.75" customHeight="1" x14ac:dyDescent="0.25"/>
    <row r="143" ht="12.75" customHeight="1" x14ac:dyDescent="0.25"/>
    <row r="144" ht="12.75" customHeight="1" x14ac:dyDescent="0.25"/>
    <row r="145" ht="12.75" customHeight="1" x14ac:dyDescent="0.25"/>
    <row r="146" ht="12.75" customHeight="1" x14ac:dyDescent="0.25"/>
    <row r="147" ht="12.75" customHeight="1" x14ac:dyDescent="0.25"/>
    <row r="148" ht="12.75" customHeight="1" x14ac:dyDescent="0.25"/>
    <row r="149" ht="12.75" customHeight="1" x14ac:dyDescent="0.25"/>
    <row r="150" ht="12.75" customHeight="1" x14ac:dyDescent="0.25"/>
    <row r="151" ht="12.75" customHeight="1" x14ac:dyDescent="0.25"/>
    <row r="152" ht="12.75" customHeight="1" x14ac:dyDescent="0.25"/>
    <row r="153" ht="12.75" customHeight="1" x14ac:dyDescent="0.25"/>
    <row r="154" ht="12.75" customHeight="1" x14ac:dyDescent="0.25"/>
    <row r="155" ht="12.75" customHeight="1" x14ac:dyDescent="0.25"/>
    <row r="156" ht="12.75" customHeight="1" x14ac:dyDescent="0.25"/>
    <row r="157" ht="12.75" customHeight="1" x14ac:dyDescent="0.25"/>
    <row r="158" ht="12.75" customHeight="1" x14ac:dyDescent="0.25"/>
    <row r="159" ht="12.75" customHeight="1" x14ac:dyDescent="0.25"/>
    <row r="160" ht="12.75" customHeight="1" x14ac:dyDescent="0.25"/>
    <row r="161" ht="12.75" customHeight="1" x14ac:dyDescent="0.25"/>
    <row r="162" ht="12.75" customHeight="1" x14ac:dyDescent="0.25"/>
    <row r="163" ht="12.75" customHeight="1" x14ac:dyDescent="0.25"/>
    <row r="164" ht="12.75" customHeight="1" x14ac:dyDescent="0.25"/>
    <row r="165" ht="12.75" customHeight="1" x14ac:dyDescent="0.25"/>
    <row r="166" ht="12.75" customHeight="1" x14ac:dyDescent="0.25"/>
    <row r="167" ht="12.75" customHeight="1" x14ac:dyDescent="0.25"/>
    <row r="168" ht="12.75" customHeight="1" x14ac:dyDescent="0.25"/>
    <row r="169" ht="12.75" customHeight="1" x14ac:dyDescent="0.25"/>
    <row r="170" ht="12.75" customHeight="1" x14ac:dyDescent="0.25"/>
    <row r="171" ht="12.75" customHeight="1" x14ac:dyDescent="0.25"/>
    <row r="172" ht="12.75" customHeight="1" x14ac:dyDescent="0.25"/>
    <row r="173" ht="12.75" customHeight="1" x14ac:dyDescent="0.25"/>
    <row r="174" ht="12.75" customHeight="1" x14ac:dyDescent="0.25"/>
    <row r="175" ht="12.75" customHeight="1" x14ac:dyDescent="0.25"/>
    <row r="176" ht="12.75" customHeight="1" x14ac:dyDescent="0.25"/>
    <row r="177" ht="12.75" customHeight="1" x14ac:dyDescent="0.25"/>
    <row r="178" ht="12.75" customHeight="1" x14ac:dyDescent="0.25"/>
    <row r="179" ht="12.75" customHeight="1" x14ac:dyDescent="0.25"/>
    <row r="180" ht="12.75" customHeight="1" x14ac:dyDescent="0.25"/>
    <row r="181" ht="12.75" customHeight="1" x14ac:dyDescent="0.25"/>
    <row r="182" ht="12.75" customHeight="1" x14ac:dyDescent="0.25"/>
    <row r="183" ht="12.75" customHeight="1" x14ac:dyDescent="0.25"/>
    <row r="184" ht="12.75" customHeight="1" x14ac:dyDescent="0.25"/>
    <row r="185" ht="12.75" customHeight="1" x14ac:dyDescent="0.25"/>
    <row r="186" ht="12.75" customHeight="1" x14ac:dyDescent="0.25"/>
    <row r="187" ht="12.75" customHeight="1" x14ac:dyDescent="0.25"/>
    <row r="188" ht="12.75" customHeight="1" x14ac:dyDescent="0.25"/>
    <row r="189" ht="12.75" customHeight="1" x14ac:dyDescent="0.25"/>
    <row r="190" ht="12.75" customHeight="1" x14ac:dyDescent="0.25"/>
    <row r="191" ht="12.75" customHeight="1" x14ac:dyDescent="0.25"/>
    <row r="192" ht="12.75" customHeight="1" x14ac:dyDescent="0.25"/>
    <row r="193" ht="12.75" customHeight="1" x14ac:dyDescent="0.25"/>
    <row r="194" ht="12.75" customHeight="1" x14ac:dyDescent="0.25"/>
    <row r="195" ht="12.75" customHeight="1" x14ac:dyDescent="0.25"/>
    <row r="196" ht="12.75" customHeight="1" x14ac:dyDescent="0.25"/>
    <row r="197" ht="12.75" customHeight="1" x14ac:dyDescent="0.25"/>
    <row r="198" ht="12.75" customHeight="1" x14ac:dyDescent="0.25"/>
    <row r="199" ht="12.75" customHeight="1" x14ac:dyDescent="0.25"/>
    <row r="200" ht="12.75" customHeight="1" x14ac:dyDescent="0.25"/>
    <row r="201" ht="12.75" customHeight="1" x14ac:dyDescent="0.25"/>
    <row r="202" ht="12.75" customHeight="1" x14ac:dyDescent="0.25"/>
    <row r="203" ht="12.75" customHeight="1" x14ac:dyDescent="0.25"/>
    <row r="204" ht="12.75" customHeight="1" x14ac:dyDescent="0.25"/>
    <row r="205" ht="12.75" customHeight="1" x14ac:dyDescent="0.25"/>
    <row r="206" ht="12.75" customHeight="1" x14ac:dyDescent="0.25"/>
    <row r="207" ht="12.75" customHeight="1" x14ac:dyDescent="0.25"/>
    <row r="208" ht="12.75" customHeight="1" x14ac:dyDescent="0.25"/>
    <row r="209" ht="12.75" customHeight="1" x14ac:dyDescent="0.25"/>
    <row r="210" ht="12.75" customHeight="1" x14ac:dyDescent="0.25"/>
    <row r="211" ht="12.75" customHeight="1" x14ac:dyDescent="0.25"/>
    <row r="212" ht="12.75" customHeight="1" x14ac:dyDescent="0.25"/>
    <row r="213" ht="12.75" customHeight="1" x14ac:dyDescent="0.25"/>
    <row r="214" ht="12.75" customHeight="1" x14ac:dyDescent="0.25"/>
    <row r="215" ht="12.75" customHeight="1" x14ac:dyDescent="0.25"/>
    <row r="216" ht="12.75" customHeight="1" x14ac:dyDescent="0.25"/>
    <row r="217" ht="12.75" customHeight="1" x14ac:dyDescent="0.25"/>
    <row r="218" ht="12.75" customHeight="1" x14ac:dyDescent="0.25"/>
    <row r="219" ht="12.75" customHeight="1" x14ac:dyDescent="0.25"/>
    <row r="220" ht="12.75" customHeight="1" x14ac:dyDescent="0.25"/>
    <row r="221" ht="12.75" customHeight="1" x14ac:dyDescent="0.25"/>
    <row r="222" ht="12.75" customHeight="1" x14ac:dyDescent="0.25"/>
    <row r="223" ht="12.75" customHeight="1" x14ac:dyDescent="0.25"/>
    <row r="224" ht="12.75" customHeight="1" x14ac:dyDescent="0.25"/>
    <row r="225" ht="12.75" customHeight="1" x14ac:dyDescent="0.25"/>
    <row r="226" ht="12.75" customHeight="1" x14ac:dyDescent="0.25"/>
    <row r="227" ht="12.75" customHeight="1" x14ac:dyDescent="0.25"/>
    <row r="228" ht="12.75" customHeight="1" x14ac:dyDescent="0.25"/>
    <row r="229" ht="12.75" customHeight="1" x14ac:dyDescent="0.25"/>
    <row r="230" ht="12.75" customHeight="1" x14ac:dyDescent="0.25"/>
    <row r="231" ht="12.75" customHeight="1" x14ac:dyDescent="0.25"/>
    <row r="232" ht="12.75" customHeight="1" x14ac:dyDescent="0.25"/>
    <row r="233" ht="12.75" customHeight="1" x14ac:dyDescent="0.25"/>
    <row r="234" ht="12.75" customHeight="1" x14ac:dyDescent="0.25"/>
    <row r="235" ht="12.75" customHeight="1" x14ac:dyDescent="0.25"/>
    <row r="236" ht="12.75" customHeight="1" x14ac:dyDescent="0.25"/>
    <row r="237" ht="12.75" customHeight="1" x14ac:dyDescent="0.25"/>
    <row r="238" ht="12.75" customHeight="1" x14ac:dyDescent="0.25"/>
    <row r="239" ht="12.75" customHeight="1" x14ac:dyDescent="0.25"/>
    <row r="240" ht="12.75" customHeight="1" x14ac:dyDescent="0.25"/>
    <row r="241" ht="12.75" customHeight="1" x14ac:dyDescent="0.25"/>
    <row r="242" ht="12.75" customHeight="1" x14ac:dyDescent="0.25"/>
    <row r="243" ht="12.75" customHeight="1" x14ac:dyDescent="0.25"/>
    <row r="244" ht="12.75" customHeight="1" x14ac:dyDescent="0.25"/>
    <row r="245" ht="12.75" customHeight="1" x14ac:dyDescent="0.25"/>
    <row r="246" ht="12.75" customHeight="1" x14ac:dyDescent="0.25"/>
    <row r="247" ht="12.75" customHeight="1" x14ac:dyDescent="0.25"/>
    <row r="248" ht="12.75" customHeight="1" x14ac:dyDescent="0.25"/>
    <row r="249" ht="12.75" customHeight="1" x14ac:dyDescent="0.25"/>
    <row r="250" ht="12.75" customHeight="1" x14ac:dyDescent="0.25"/>
    <row r="251" ht="12.75" customHeight="1" x14ac:dyDescent="0.25"/>
    <row r="252" ht="12.75" customHeight="1" x14ac:dyDescent="0.25"/>
    <row r="253" ht="12.75" customHeight="1" x14ac:dyDescent="0.25"/>
    <row r="254" ht="12.75" customHeight="1" x14ac:dyDescent="0.25"/>
    <row r="255" ht="12.75" customHeight="1" x14ac:dyDescent="0.25"/>
    <row r="256" ht="12.75" customHeight="1" x14ac:dyDescent="0.25"/>
    <row r="257" ht="12.75" customHeight="1" x14ac:dyDescent="0.25"/>
    <row r="258" ht="12.75" customHeight="1" x14ac:dyDescent="0.25"/>
    <row r="259" ht="12.75" customHeight="1" x14ac:dyDescent="0.25"/>
    <row r="260" ht="12.75" customHeight="1" x14ac:dyDescent="0.25"/>
    <row r="261" ht="12.75" customHeight="1" x14ac:dyDescent="0.25"/>
    <row r="262" ht="12.75" customHeight="1" x14ac:dyDescent="0.25"/>
    <row r="263" ht="12.75" customHeight="1" x14ac:dyDescent="0.25"/>
    <row r="264" ht="12.75" customHeight="1" x14ac:dyDescent="0.25"/>
    <row r="265" ht="12.75" customHeight="1" x14ac:dyDescent="0.25"/>
    <row r="266" ht="12.75" customHeight="1" x14ac:dyDescent="0.25"/>
    <row r="267" ht="12.75" customHeight="1" x14ac:dyDescent="0.25"/>
    <row r="268" ht="12.75" customHeight="1" x14ac:dyDescent="0.25"/>
    <row r="269" ht="12.75" customHeight="1" x14ac:dyDescent="0.25"/>
    <row r="270" ht="12.75" customHeight="1" x14ac:dyDescent="0.25"/>
    <row r="271" ht="12.75" customHeight="1" x14ac:dyDescent="0.25"/>
    <row r="272" ht="12.75" customHeight="1" x14ac:dyDescent="0.25"/>
    <row r="273" ht="12.75" customHeight="1" x14ac:dyDescent="0.25"/>
    <row r="274" ht="12.75" customHeight="1" x14ac:dyDescent="0.25"/>
    <row r="275" ht="12.75" customHeight="1" x14ac:dyDescent="0.25"/>
    <row r="276" ht="12.75" customHeight="1" x14ac:dyDescent="0.25"/>
    <row r="277" ht="12.75" customHeight="1" x14ac:dyDescent="0.25"/>
    <row r="278" ht="12.75" customHeight="1" x14ac:dyDescent="0.25"/>
    <row r="279" ht="12.75" customHeight="1" x14ac:dyDescent="0.25"/>
    <row r="280" ht="12.75" customHeight="1" x14ac:dyDescent="0.25"/>
    <row r="281" ht="12.75" customHeight="1" x14ac:dyDescent="0.25"/>
    <row r="282" ht="12.75" customHeight="1" x14ac:dyDescent="0.25"/>
    <row r="283" ht="12.75" customHeight="1" x14ac:dyDescent="0.25"/>
    <row r="284" ht="12.75" customHeight="1" x14ac:dyDescent="0.25"/>
    <row r="285" ht="12.75" customHeight="1" x14ac:dyDescent="0.25"/>
    <row r="286" ht="12.75" customHeight="1" x14ac:dyDescent="0.25"/>
    <row r="287" ht="12.75" customHeight="1" x14ac:dyDescent="0.25"/>
    <row r="288" ht="12.75" customHeight="1" x14ac:dyDescent="0.25"/>
    <row r="289" ht="12.75" customHeight="1" x14ac:dyDescent="0.25"/>
    <row r="290" ht="12.75" customHeight="1" x14ac:dyDescent="0.25"/>
    <row r="291" ht="12.75" customHeight="1" x14ac:dyDescent="0.25"/>
    <row r="292" ht="12.75" customHeight="1" x14ac:dyDescent="0.25"/>
    <row r="293" ht="12.75" customHeight="1" x14ac:dyDescent="0.25"/>
    <row r="294" ht="12.75" customHeight="1" x14ac:dyDescent="0.25"/>
    <row r="295" ht="12.75" customHeight="1" x14ac:dyDescent="0.25"/>
    <row r="296" ht="12.75" customHeight="1" x14ac:dyDescent="0.25"/>
    <row r="297" ht="12.75" customHeight="1" x14ac:dyDescent="0.25"/>
    <row r="298" ht="12.75" customHeight="1" x14ac:dyDescent="0.25"/>
    <row r="299" ht="12.75" customHeight="1" x14ac:dyDescent="0.25"/>
    <row r="300" ht="12.75" customHeight="1" x14ac:dyDescent="0.25"/>
    <row r="301" ht="12.75" customHeight="1" x14ac:dyDescent="0.25"/>
    <row r="302" ht="12.75" customHeight="1" x14ac:dyDescent="0.25"/>
    <row r="303" ht="12.75" customHeight="1" x14ac:dyDescent="0.25"/>
    <row r="304" ht="12.75" customHeight="1" x14ac:dyDescent="0.25"/>
    <row r="305" ht="12.75" customHeight="1" x14ac:dyDescent="0.25"/>
    <row r="306" ht="12.75" customHeight="1" x14ac:dyDescent="0.25"/>
    <row r="307" ht="12.75" customHeight="1" x14ac:dyDescent="0.25"/>
    <row r="308" ht="12.75" customHeight="1" x14ac:dyDescent="0.25"/>
    <row r="309" ht="12.75" customHeight="1" x14ac:dyDescent="0.25"/>
    <row r="310" ht="12.75" customHeight="1" x14ac:dyDescent="0.25"/>
    <row r="311" ht="12.75" customHeight="1" x14ac:dyDescent="0.25"/>
    <row r="312" ht="12.75" customHeight="1" x14ac:dyDescent="0.25"/>
    <row r="313" ht="12.75" customHeight="1" x14ac:dyDescent="0.25"/>
    <row r="314" ht="12.75" customHeight="1" x14ac:dyDescent="0.25"/>
    <row r="315" ht="12.75" customHeight="1" x14ac:dyDescent="0.25"/>
    <row r="316" ht="12.75" customHeight="1" x14ac:dyDescent="0.25"/>
    <row r="317" ht="12.75" customHeight="1" x14ac:dyDescent="0.25"/>
    <row r="318" ht="12.75" customHeight="1" x14ac:dyDescent="0.25"/>
    <row r="319" ht="12.75" customHeight="1" x14ac:dyDescent="0.25"/>
    <row r="320" ht="12.75" customHeight="1" x14ac:dyDescent="0.25"/>
    <row r="321" ht="12.75" customHeight="1" x14ac:dyDescent="0.25"/>
    <row r="322" ht="12.75" customHeight="1" x14ac:dyDescent="0.25"/>
    <row r="323" ht="12.75" customHeight="1" x14ac:dyDescent="0.25"/>
    <row r="324" ht="12.75" customHeight="1" x14ac:dyDescent="0.25"/>
    <row r="325" ht="12.75" customHeight="1" x14ac:dyDescent="0.25"/>
    <row r="326" ht="12.75" customHeight="1" x14ac:dyDescent="0.25"/>
    <row r="327" ht="12.75" customHeight="1" x14ac:dyDescent="0.25"/>
    <row r="328" ht="12.75" customHeight="1" x14ac:dyDescent="0.25"/>
    <row r="329" ht="12.75" customHeight="1" x14ac:dyDescent="0.25"/>
    <row r="330" ht="12.75" customHeight="1" x14ac:dyDescent="0.25"/>
  </sheetData>
  <sheetProtection algorithmName="SHA-512" hashValue="6knSRqOJmjEZhAaeNTvdiCI02f/K3SMYqO6Q1w+hFoxtuU7JDgckcIsYzmtAHzfN5hCO65fVDLDKb7rjdnK71Q==" saltValue="rXBgw9A8o2qC/UfmrLrpcw==" spinCount="100000" sheet="1" objects="1" selectLockedCells="1"/>
  <mergeCells count="346">
    <mergeCell ref="A116:Q116"/>
    <mergeCell ref="A117:Q117"/>
    <mergeCell ref="F5:G5"/>
    <mergeCell ref="M10:O10"/>
    <mergeCell ref="L50:M50"/>
    <mergeCell ref="L51:M51"/>
    <mergeCell ref="A40:D40"/>
    <mergeCell ref="M18:P18"/>
    <mergeCell ref="M19:P19"/>
    <mergeCell ref="A108:Q108"/>
    <mergeCell ref="A109:Q109"/>
    <mergeCell ref="A110:Q110"/>
    <mergeCell ref="A111:Q111"/>
    <mergeCell ref="A112:Q112"/>
    <mergeCell ref="A113:Q113"/>
    <mergeCell ref="A114:Q114"/>
    <mergeCell ref="A115:Q115"/>
    <mergeCell ref="A84:G84"/>
    <mergeCell ref="A85:G85"/>
    <mergeCell ref="A75:G75"/>
    <mergeCell ref="D105:G105"/>
    <mergeCell ref="A62:G62"/>
    <mergeCell ref="A63:G63"/>
    <mergeCell ref="F79:G79"/>
    <mergeCell ref="F80:G80"/>
    <mergeCell ref="B79:D79"/>
    <mergeCell ref="B80:D80"/>
    <mergeCell ref="B81:D81"/>
    <mergeCell ref="B82:D82"/>
    <mergeCell ref="C65:G65"/>
    <mergeCell ref="C66:G66"/>
    <mergeCell ref="C67:G67"/>
    <mergeCell ref="C68:G68"/>
    <mergeCell ref="C69:G69"/>
    <mergeCell ref="C70:G70"/>
    <mergeCell ref="C74:G74"/>
    <mergeCell ref="A74:B74"/>
    <mergeCell ref="A68:B68"/>
    <mergeCell ref="A69:B69"/>
    <mergeCell ref="A70:B70"/>
    <mergeCell ref="A71:B71"/>
    <mergeCell ref="A73:B73"/>
    <mergeCell ref="A66:B66"/>
    <mergeCell ref="A67:B67"/>
    <mergeCell ref="A86:G86"/>
    <mergeCell ref="A87:G87"/>
    <mergeCell ref="A88:G88"/>
    <mergeCell ref="A89:G89"/>
    <mergeCell ref="A90:G90"/>
    <mergeCell ref="A91:G91"/>
    <mergeCell ref="F81:G81"/>
    <mergeCell ref="F82:G82"/>
    <mergeCell ref="A83:G83"/>
    <mergeCell ref="A106:G106"/>
    <mergeCell ref="I100:L100"/>
    <mergeCell ref="I101:L101"/>
    <mergeCell ref="I102:L102"/>
    <mergeCell ref="I103:L103"/>
    <mergeCell ref="I104:L104"/>
    <mergeCell ref="I105:L105"/>
    <mergeCell ref="N97:O97"/>
    <mergeCell ref="N98:O98"/>
    <mergeCell ref="N99:O99"/>
    <mergeCell ref="N100:O100"/>
    <mergeCell ref="A104:C104"/>
    <mergeCell ref="A105:C105"/>
    <mergeCell ref="A96:G96"/>
    <mergeCell ref="D104:G104"/>
    <mergeCell ref="E103:F103"/>
    <mergeCell ref="E102:F102"/>
    <mergeCell ref="E101:F101"/>
    <mergeCell ref="E100:F100"/>
    <mergeCell ref="D97:G97"/>
    <mergeCell ref="D98:G98"/>
    <mergeCell ref="E99:F99"/>
    <mergeCell ref="N89:O89"/>
    <mergeCell ref="N90:O90"/>
    <mergeCell ref="N91:O91"/>
    <mergeCell ref="N92:O92"/>
    <mergeCell ref="N104:O104"/>
    <mergeCell ref="N105:O105"/>
    <mergeCell ref="N101:O101"/>
    <mergeCell ref="N102:O102"/>
    <mergeCell ref="I106:L106"/>
    <mergeCell ref="N106:O106"/>
    <mergeCell ref="N88:O88"/>
    <mergeCell ref="A92:G92"/>
    <mergeCell ref="A93:G93"/>
    <mergeCell ref="N103:O103"/>
    <mergeCell ref="I89:L89"/>
    <mergeCell ref="I90:L90"/>
    <mergeCell ref="I91:L91"/>
    <mergeCell ref="I92:L92"/>
    <mergeCell ref="I97:L97"/>
    <mergeCell ref="I98:L98"/>
    <mergeCell ref="I99:L99"/>
    <mergeCell ref="I95:L96"/>
    <mergeCell ref="I93:L94"/>
    <mergeCell ref="M93:M94"/>
    <mergeCell ref="M95:M96"/>
    <mergeCell ref="N93:O94"/>
    <mergeCell ref="N95:O96"/>
    <mergeCell ref="A97:C97"/>
    <mergeCell ref="A98:C98"/>
    <mergeCell ref="A99:C99"/>
    <mergeCell ref="A100:C100"/>
    <mergeCell ref="A101:C101"/>
    <mergeCell ref="A102:C102"/>
    <mergeCell ref="A103:C103"/>
    <mergeCell ref="I88:L88"/>
    <mergeCell ref="I76:L76"/>
    <mergeCell ref="I77:L77"/>
    <mergeCell ref="I78:L78"/>
    <mergeCell ref="I79:L79"/>
    <mergeCell ref="I80:L80"/>
    <mergeCell ref="I81:L81"/>
    <mergeCell ref="I82:L82"/>
    <mergeCell ref="I83:L83"/>
    <mergeCell ref="I84:L84"/>
    <mergeCell ref="I85:L85"/>
    <mergeCell ref="N84:O84"/>
    <mergeCell ref="N85:O85"/>
    <mergeCell ref="N79:O79"/>
    <mergeCell ref="N80:O80"/>
    <mergeCell ref="N81:O81"/>
    <mergeCell ref="N82:O82"/>
    <mergeCell ref="N83:O83"/>
    <mergeCell ref="I86:L86"/>
    <mergeCell ref="I87:L87"/>
    <mergeCell ref="N86:O86"/>
    <mergeCell ref="N87:O87"/>
    <mergeCell ref="A36:E36"/>
    <mergeCell ref="A42:D42"/>
    <mergeCell ref="A44:Q44"/>
    <mergeCell ref="N78:O78"/>
    <mergeCell ref="I62:Q62"/>
    <mergeCell ref="F76:G76"/>
    <mergeCell ref="F77:G77"/>
    <mergeCell ref="F78:G78"/>
    <mergeCell ref="B77:D77"/>
    <mergeCell ref="B78:D78"/>
    <mergeCell ref="A46:C46"/>
    <mergeCell ref="A47:C47"/>
    <mergeCell ref="A54:Q54"/>
    <mergeCell ref="A55:Q55"/>
    <mergeCell ref="A56:Q56"/>
    <mergeCell ref="E46:F46"/>
    <mergeCell ref="L47:M47"/>
    <mergeCell ref="O47:P47"/>
    <mergeCell ref="E47:F47"/>
    <mergeCell ref="N65:O65"/>
    <mergeCell ref="N66:O66"/>
    <mergeCell ref="N67:O67"/>
    <mergeCell ref="N68:O68"/>
    <mergeCell ref="N69:O69"/>
    <mergeCell ref="A39:Q39"/>
    <mergeCell ref="M22:P22"/>
    <mergeCell ref="A23:E23"/>
    <mergeCell ref="G23:K23"/>
    <mergeCell ref="G24:K24"/>
    <mergeCell ref="G25:K25"/>
    <mergeCell ref="N77:O77"/>
    <mergeCell ref="A24:E24"/>
    <mergeCell ref="A25:E25"/>
    <mergeCell ref="A26:E26"/>
    <mergeCell ref="I67:L67"/>
    <mergeCell ref="I68:L68"/>
    <mergeCell ref="I69:L69"/>
    <mergeCell ref="I70:L70"/>
    <mergeCell ref="I71:L71"/>
    <mergeCell ref="I72:L72"/>
    <mergeCell ref="I65:L65"/>
    <mergeCell ref="G33:K33"/>
    <mergeCell ref="G34:K34"/>
    <mergeCell ref="G29:K29"/>
    <mergeCell ref="G30:K30"/>
    <mergeCell ref="G31:K31"/>
    <mergeCell ref="G32:K32"/>
    <mergeCell ref="A35:E35"/>
    <mergeCell ref="A2:Q2"/>
    <mergeCell ref="A37:E37"/>
    <mergeCell ref="M31:P31"/>
    <mergeCell ref="G28:K28"/>
    <mergeCell ref="A41:D41"/>
    <mergeCell ref="G35:K35"/>
    <mergeCell ref="G36:K36"/>
    <mergeCell ref="A43:Q43"/>
    <mergeCell ref="F42:I42"/>
    <mergeCell ref="K40:M40"/>
    <mergeCell ref="K41:M41"/>
    <mergeCell ref="K42:M42"/>
    <mergeCell ref="O40:P40"/>
    <mergeCell ref="O41:P41"/>
    <mergeCell ref="O42:P42"/>
    <mergeCell ref="M37:P37"/>
    <mergeCell ref="G37:K37"/>
    <mergeCell ref="M35:P35"/>
    <mergeCell ref="M36:P36"/>
    <mergeCell ref="F40:I40"/>
    <mergeCell ref="F41:I41"/>
    <mergeCell ref="A28:E28"/>
    <mergeCell ref="A32:E32"/>
    <mergeCell ref="A33:E33"/>
    <mergeCell ref="A30:E30"/>
    <mergeCell ref="A31:E31"/>
    <mergeCell ref="G18:K18"/>
    <mergeCell ref="G19:K19"/>
    <mergeCell ref="A27:E27"/>
    <mergeCell ref="A21:Q21"/>
    <mergeCell ref="A22:E22"/>
    <mergeCell ref="G22:K22"/>
    <mergeCell ref="A1:Q1"/>
    <mergeCell ref="A3:B3"/>
    <mergeCell ref="D4:E4"/>
    <mergeCell ref="F8:G8"/>
    <mergeCell ref="F6:G6"/>
    <mergeCell ref="D3:Q3"/>
    <mergeCell ref="F4:J4"/>
    <mergeCell ref="F7:J7"/>
    <mergeCell ref="K6:M6"/>
    <mergeCell ref="K7:M7"/>
    <mergeCell ref="K8:M8"/>
    <mergeCell ref="N6:Q6"/>
    <mergeCell ref="N7:Q7"/>
    <mergeCell ref="N8:Q8"/>
    <mergeCell ref="N5:Q5"/>
    <mergeCell ref="K4:M4"/>
    <mergeCell ref="M23:P23"/>
    <mergeCell ref="M24:P24"/>
    <mergeCell ref="M25:P25"/>
    <mergeCell ref="M26:P26"/>
    <mergeCell ref="M27:P27"/>
    <mergeCell ref="M30:P30"/>
    <mergeCell ref="M32:P32"/>
    <mergeCell ref="M33:P33"/>
    <mergeCell ref="M34:P34"/>
    <mergeCell ref="A20:Q20"/>
    <mergeCell ref="A38:Q38"/>
    <mergeCell ref="B14:C14"/>
    <mergeCell ref="A19:E19"/>
    <mergeCell ref="A18:E18"/>
    <mergeCell ref="A17:E17"/>
    <mergeCell ref="A29:E29"/>
    <mergeCell ref="D9:E9"/>
    <mergeCell ref="D10:E10"/>
    <mergeCell ref="D11:E11"/>
    <mergeCell ref="G16:K16"/>
    <mergeCell ref="A13:Q13"/>
    <mergeCell ref="M16:P16"/>
    <mergeCell ref="M14:P14"/>
    <mergeCell ref="M15:P15"/>
    <mergeCell ref="G15:K15"/>
    <mergeCell ref="G14:K14"/>
    <mergeCell ref="A15:E15"/>
    <mergeCell ref="G26:K26"/>
    <mergeCell ref="G27:K27"/>
    <mergeCell ref="A16:E16"/>
    <mergeCell ref="A34:E34"/>
    <mergeCell ref="G17:K17"/>
    <mergeCell ref="M17:P17"/>
    <mergeCell ref="K9:L9"/>
    <mergeCell ref="K10:L10"/>
    <mergeCell ref="F9:G9"/>
    <mergeCell ref="F10:G10"/>
    <mergeCell ref="F11:G11"/>
    <mergeCell ref="K11:L11"/>
    <mergeCell ref="M11:O11"/>
    <mergeCell ref="A12:Q12"/>
    <mergeCell ref="C3:C11"/>
    <mergeCell ref="N4:Q4"/>
    <mergeCell ref="D5:E5"/>
    <mergeCell ref="D7:E7"/>
    <mergeCell ref="D8:E8"/>
    <mergeCell ref="K5:M5"/>
    <mergeCell ref="D6:E6"/>
    <mergeCell ref="P93:P94"/>
    <mergeCell ref="P95:P96"/>
    <mergeCell ref="Q95:Q96"/>
    <mergeCell ref="Q93:Q94"/>
    <mergeCell ref="H5:I5"/>
    <mergeCell ref="H8:I8"/>
    <mergeCell ref="H6:I6"/>
    <mergeCell ref="H9:J9"/>
    <mergeCell ref="H10:J10"/>
    <mergeCell ref="H11:J11"/>
    <mergeCell ref="H46:J46"/>
    <mergeCell ref="H47:J47"/>
    <mergeCell ref="H50:I50"/>
    <mergeCell ref="H51:I51"/>
    <mergeCell ref="H52:I52"/>
    <mergeCell ref="P11:Q11"/>
    <mergeCell ref="M9:O9"/>
    <mergeCell ref="P9:Q9"/>
    <mergeCell ref="P10:Q10"/>
    <mergeCell ref="M28:P28"/>
    <mergeCell ref="M29:P29"/>
    <mergeCell ref="I66:L66"/>
    <mergeCell ref="I63:L63"/>
    <mergeCell ref="N63:O63"/>
    <mergeCell ref="N64:O64"/>
    <mergeCell ref="N75:O75"/>
    <mergeCell ref="N76:O76"/>
    <mergeCell ref="A48:Q48"/>
    <mergeCell ref="A53:Q53"/>
    <mergeCell ref="A61:Q61"/>
    <mergeCell ref="I73:L73"/>
    <mergeCell ref="I74:L74"/>
    <mergeCell ref="I75:L75"/>
    <mergeCell ref="N72:O72"/>
    <mergeCell ref="N73:O73"/>
    <mergeCell ref="N74:O74"/>
    <mergeCell ref="N71:O71"/>
    <mergeCell ref="N50:O50"/>
    <mergeCell ref="N51:O51"/>
    <mergeCell ref="C72:G72"/>
    <mergeCell ref="A72:B72"/>
    <mergeCell ref="C73:G73"/>
    <mergeCell ref="C71:G71"/>
    <mergeCell ref="C64:G64"/>
    <mergeCell ref="A64:B64"/>
    <mergeCell ref="A65:B65"/>
    <mergeCell ref="N70:O70"/>
    <mergeCell ref="G45:I45"/>
    <mergeCell ref="I64:L64"/>
    <mergeCell ref="A107:Q107"/>
    <mergeCell ref="H62:H106"/>
    <mergeCell ref="A94:G95"/>
    <mergeCell ref="A45:C45"/>
    <mergeCell ref="A50:C50"/>
    <mergeCell ref="A51:C51"/>
    <mergeCell ref="A52:C52"/>
    <mergeCell ref="A57:Q57"/>
    <mergeCell ref="A58:Q58"/>
    <mergeCell ref="A59:Q59"/>
    <mergeCell ref="E50:F50"/>
    <mergeCell ref="E51:F51"/>
    <mergeCell ref="E52:F52"/>
    <mergeCell ref="L52:M52"/>
    <mergeCell ref="N52:Q52"/>
    <mergeCell ref="A49:Q49"/>
    <mergeCell ref="D45:F45"/>
    <mergeCell ref="O45:P45"/>
    <mergeCell ref="B76:D76"/>
    <mergeCell ref="O46:P46"/>
    <mergeCell ref="L46:M46"/>
    <mergeCell ref="A60:Q60"/>
  </mergeCells>
  <pageMargins left="0.7" right="0.7" top="0.75" bottom="0.75" header="0.3" footer="0.3"/>
  <pageSetup orientation="portrait" horizontalDpi="4294967293" r:id="rId1"/>
  <headerFooter>
    <oddFooter>&amp;L&amp;8© Copyright 2018 Palladium Books, Inc, all rights reserved, worldwide.
The Palladium Books Fantasy Role-Playing Game is Trademark by Palladium Books Inc.&amp;R&amp;8For personal use only.</oddFooter>
  </headerFooter>
  <ignoredErrors>
    <ignoredError sqref="Q15" formula="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92D050"/>
  </sheetPr>
  <dimension ref="A1:Y49"/>
  <sheetViews>
    <sheetView showGridLines="0" zoomScaleNormal="100" workbookViewId="0">
      <selection activeCell="B2" sqref="B2"/>
    </sheetView>
  </sheetViews>
  <sheetFormatPr defaultRowHeight="15" x14ac:dyDescent="0.25"/>
  <cols>
    <col min="2" max="5" width="7.140625" customWidth="1"/>
    <col min="6" max="6" width="8.140625" customWidth="1"/>
    <col min="7" max="7" width="7.140625" customWidth="1"/>
    <col min="8" max="8" width="12.140625" customWidth="1"/>
    <col min="9" max="9" width="6.42578125" customWidth="1"/>
    <col min="10" max="10" width="12.85546875" customWidth="1"/>
    <col min="11" max="11" width="5.7109375" customWidth="1"/>
    <col min="13" max="13" width="12.5703125" bestFit="1" customWidth="1"/>
    <col min="17" max="17" width="12.42578125" bestFit="1" customWidth="1"/>
    <col min="20" max="20" width="9.140625" customWidth="1"/>
  </cols>
  <sheetData>
    <row r="1" spans="1:25" ht="26.25" thickBot="1" x14ac:dyDescent="0.3">
      <c r="A1" s="44" t="s">
        <v>106</v>
      </c>
      <c r="B1" s="46" t="s">
        <v>107</v>
      </c>
      <c r="C1" s="46" t="s">
        <v>108</v>
      </c>
      <c r="D1" s="46" t="s">
        <v>109</v>
      </c>
      <c r="E1" s="46" t="s">
        <v>110</v>
      </c>
      <c r="F1" s="46" t="s">
        <v>111</v>
      </c>
      <c r="G1" s="46" t="s">
        <v>112</v>
      </c>
      <c r="H1" s="828" t="s">
        <v>113</v>
      </c>
      <c r="I1" s="829"/>
      <c r="J1" s="829"/>
      <c r="K1" s="830"/>
    </row>
    <row r="2" spans="1:25" ht="15.75" thickBot="1" x14ac:dyDescent="0.3">
      <c r="A2" s="7" t="s">
        <v>4</v>
      </c>
      <c r="B2" s="25"/>
      <c r="C2" s="25"/>
      <c r="D2" s="25"/>
      <c r="E2" s="25"/>
      <c r="F2" s="25"/>
      <c r="G2" s="103">
        <f>SUM(B2:F2)</f>
        <v>0</v>
      </c>
      <c r="H2" s="743" t="s">
        <v>54</v>
      </c>
      <c r="I2" s="744"/>
      <c r="J2" s="745"/>
      <c r="K2" s="83">
        <f>IF(total_iq&gt;30, (ROUNDDOWN((total_iq-30)/5, 0))*2+16, IF(total_iq&gt;15, total_iq-14,0))</f>
        <v>0</v>
      </c>
    </row>
    <row r="3" spans="1:25" ht="14.25" customHeight="1" thickBot="1" x14ac:dyDescent="0.3">
      <c r="A3" s="5" t="s">
        <v>7</v>
      </c>
      <c r="B3" s="26"/>
      <c r="C3" s="26"/>
      <c r="D3" s="26"/>
      <c r="E3" s="26"/>
      <c r="F3" s="26"/>
      <c r="G3" s="104">
        <f>SUM(B3:F3)</f>
        <v>0</v>
      </c>
      <c r="H3" s="38" t="s">
        <v>114</v>
      </c>
      <c r="I3" s="88">
        <f>IF(total_me&gt;29, 8, IF(total_me&gt;15, ROUNDDOWN((total_me-14)/2,0), 0))</f>
        <v>0</v>
      </c>
      <c r="J3" s="39" t="s">
        <v>66</v>
      </c>
      <c r="K3" s="80">
        <f>IF(total_me&gt;29, 13, IF(total_me&gt;19, total_me-17, IF(total_me&gt;15, ROUNDDOWN((total_me-14)/2,0), 0)))</f>
        <v>0</v>
      </c>
      <c r="M3" s="831" t="s">
        <v>149</v>
      </c>
      <c r="N3" s="832"/>
      <c r="O3" s="122"/>
      <c r="P3" s="831" t="s">
        <v>542</v>
      </c>
      <c r="Q3" s="832"/>
      <c r="R3" s="1"/>
      <c r="S3" s="749" t="s">
        <v>650</v>
      </c>
      <c r="T3" s="750"/>
      <c r="U3" s="804" t="s">
        <v>651</v>
      </c>
      <c r="V3" s="805"/>
      <c r="W3" s="805"/>
      <c r="X3" s="805"/>
      <c r="Y3" s="806"/>
    </row>
    <row r="4" spans="1:25" ht="14.25" customHeight="1" x14ac:dyDescent="0.25">
      <c r="A4" s="5" t="s">
        <v>11</v>
      </c>
      <c r="B4" s="26"/>
      <c r="C4" s="26"/>
      <c r="D4" s="26"/>
      <c r="E4" s="26"/>
      <c r="F4" s="26"/>
      <c r="G4" s="104">
        <f t="shared" ref="G4:G9" si="0">SUM(B4:F4)</f>
        <v>0</v>
      </c>
      <c r="H4" s="826" t="s">
        <v>50</v>
      </c>
      <c r="I4" s="827"/>
      <c r="J4" s="740"/>
      <c r="K4" s="80">
        <f>IF(total_ma&gt;29, 97, IF(total_ma=29, 96, IF(total_ma=28, 94, IF(total_ma=27, 92, IF(total_ma=26, 88, IF(total_ma=25, 84, IF(total_ma&gt;15, (total_ma-8)*5, 0)))))))</f>
        <v>0</v>
      </c>
      <c r="M4" s="824" t="s">
        <v>151</v>
      </c>
      <c r="N4" s="825"/>
      <c r="P4" s="824" t="s">
        <v>553</v>
      </c>
      <c r="Q4" s="825"/>
      <c r="R4" s="1"/>
      <c r="S4" s="138" t="s">
        <v>181</v>
      </c>
      <c r="T4" s="139" t="s">
        <v>16</v>
      </c>
      <c r="U4" s="807"/>
      <c r="V4" s="808"/>
      <c r="W4" s="808"/>
      <c r="X4" s="808"/>
      <c r="Y4" s="809"/>
    </row>
    <row r="5" spans="1:25" ht="14.25" customHeight="1" x14ac:dyDescent="0.25">
      <c r="A5" s="5" t="s">
        <v>14</v>
      </c>
      <c r="B5" s="26"/>
      <c r="C5" s="26"/>
      <c r="D5" s="26"/>
      <c r="E5" s="26"/>
      <c r="F5" s="26"/>
      <c r="G5" s="104">
        <f t="shared" si="0"/>
        <v>0</v>
      </c>
      <c r="H5" s="826" t="s">
        <v>115</v>
      </c>
      <c r="I5" s="827"/>
      <c r="J5" s="740"/>
      <c r="K5" s="80">
        <f>IF(total_ps&gt;15, total_ps-15, 0)</f>
        <v>0</v>
      </c>
      <c r="M5" s="18" t="s">
        <v>152</v>
      </c>
      <c r="N5" s="80">
        <f>IF(total_ps&gt;30, (ROUNDDOWN((total_ps-30)/5, 0)*30), 0)</f>
        <v>0</v>
      </c>
      <c r="P5" s="38" t="s">
        <v>640</v>
      </c>
      <c r="Q5" s="158" t="s">
        <v>553</v>
      </c>
      <c r="R5" s="1"/>
      <c r="S5" s="140">
        <v>0</v>
      </c>
      <c r="T5" s="141">
        <v>1</v>
      </c>
      <c r="U5" s="807"/>
      <c r="V5" s="808"/>
      <c r="W5" s="808"/>
      <c r="X5" s="808"/>
      <c r="Y5" s="809"/>
    </row>
    <row r="6" spans="1:25" ht="14.25" customHeight="1" x14ac:dyDescent="0.25">
      <c r="A6" s="5" t="s">
        <v>18</v>
      </c>
      <c r="B6" s="26"/>
      <c r="C6" s="26"/>
      <c r="D6" s="26"/>
      <c r="E6" s="26"/>
      <c r="F6" s="26"/>
      <c r="G6" s="104">
        <f t="shared" si="0"/>
        <v>0</v>
      </c>
      <c r="H6" s="826" t="s">
        <v>116</v>
      </c>
      <c r="I6" s="827"/>
      <c r="J6" s="740"/>
      <c r="K6" s="80">
        <f>IF(total_pp&gt;29, 8, IF(total_pp&gt;15, ROUNDDOWN((total_pp-14)/2,0), 0))</f>
        <v>0</v>
      </c>
      <c r="M6" s="856" t="s">
        <v>34</v>
      </c>
      <c r="N6" s="857"/>
      <c r="P6" s="851" t="s">
        <v>543</v>
      </c>
      <c r="Q6" s="80" t="s">
        <v>544</v>
      </c>
      <c r="R6" s="1"/>
      <c r="S6" s="140" t="str">
        <f>IF(occ="Not Selected", "", VLOOKUP(occ, exp_chart, 3, FALSE))</f>
        <v/>
      </c>
      <c r="T6" s="141">
        <v>2</v>
      </c>
      <c r="U6" s="807"/>
      <c r="V6" s="808"/>
      <c r="W6" s="808"/>
      <c r="X6" s="808"/>
      <c r="Y6" s="809"/>
    </row>
    <row r="7" spans="1:25" ht="14.25" customHeight="1" x14ac:dyDescent="0.25">
      <c r="A7" s="5" t="s">
        <v>22</v>
      </c>
      <c r="B7" s="26"/>
      <c r="C7" s="26"/>
      <c r="D7" s="26"/>
      <c r="E7" s="26"/>
      <c r="F7" s="26"/>
      <c r="G7" s="104">
        <f t="shared" si="0"/>
        <v>0</v>
      </c>
      <c r="H7" s="38" t="s">
        <v>58</v>
      </c>
      <c r="I7" s="88">
        <f>IF(total_pe&gt;29, total_pe, IF(total_pe&gt;17, (total_pe-15)*2, IF(total_pe&gt;15, total_pe-12, 0)))</f>
        <v>0</v>
      </c>
      <c r="J7" s="39" t="s">
        <v>117</v>
      </c>
      <c r="K7" s="80">
        <f>IF(total_pe&gt;15, ROUNDDOWN((total_pe-14)/2,0), 0)</f>
        <v>0</v>
      </c>
      <c r="M7" s="5" t="s">
        <v>151</v>
      </c>
      <c r="N7" s="80">
        <f>IF(total_ps&gt;30, ((total_ps+total_ps*excel_carry%)*20), IF(total_ps&gt;16,total_ps*20, total_ps*10))</f>
        <v>0</v>
      </c>
      <c r="P7" s="851"/>
      <c r="Q7" s="80" t="s">
        <v>545</v>
      </c>
      <c r="R7" s="1"/>
      <c r="S7" s="140" t="str">
        <f>IF(occ="Not Selected", "", VLOOKUP(occ, exp_chart, 4, FALSE))</f>
        <v/>
      </c>
      <c r="T7" s="141">
        <v>3</v>
      </c>
      <c r="U7" s="807"/>
      <c r="V7" s="808"/>
      <c r="W7" s="808"/>
      <c r="X7" s="808"/>
      <c r="Y7" s="809"/>
    </row>
    <row r="8" spans="1:25" ht="14.25" customHeight="1" x14ac:dyDescent="0.25">
      <c r="A8" s="5" t="s">
        <v>25</v>
      </c>
      <c r="B8" s="26"/>
      <c r="C8" s="26"/>
      <c r="D8" s="26"/>
      <c r="E8" s="26"/>
      <c r="F8" s="26"/>
      <c r="G8" s="104">
        <f t="shared" si="0"/>
        <v>0</v>
      </c>
      <c r="H8" s="826" t="s">
        <v>53</v>
      </c>
      <c r="I8" s="827"/>
      <c r="J8" s="740"/>
      <c r="K8" s="80">
        <f>IF(total_pb&gt;29, 92, IF(total_pb=29, 90, IF(total_pb=28, 86, IF(total_pb=27, 83, IF(total_pb&gt;15, (total_pb-10)*5, 0)))))</f>
        <v>0</v>
      </c>
      <c r="M8" s="5" t="s">
        <v>153</v>
      </c>
      <c r="N8" s="80">
        <f>IF(total_ps&gt;30, ((total_ps+total_ps*excel_carry%)*20), IF(total_ps&gt;16,total_ps*20, total_ps*10))</f>
        <v>0</v>
      </c>
      <c r="P8" s="851"/>
      <c r="Q8" s="159"/>
      <c r="R8" s="1"/>
      <c r="S8" s="140" t="str">
        <f>IF(occ="Not Selected", "", VLOOKUP(occ, exp_chart, 5, FALSE))</f>
        <v/>
      </c>
      <c r="T8" s="141">
        <v>4</v>
      </c>
      <c r="U8" s="807"/>
      <c r="V8" s="808"/>
      <c r="W8" s="808"/>
      <c r="X8" s="808"/>
      <c r="Y8" s="809"/>
    </row>
    <row r="9" spans="1:25" ht="14.25" customHeight="1" thickBot="1" x14ac:dyDescent="0.3">
      <c r="A9" s="6" t="s">
        <v>29</v>
      </c>
      <c r="B9" s="27"/>
      <c r="C9" s="27"/>
      <c r="D9" s="27"/>
      <c r="E9" s="27"/>
      <c r="F9" s="27"/>
      <c r="G9" s="105">
        <f t="shared" si="0"/>
        <v>0</v>
      </c>
      <c r="H9" s="853" t="s">
        <v>118</v>
      </c>
      <c r="I9" s="854"/>
      <c r="J9" s="854"/>
      <c r="K9" s="855"/>
      <c r="M9" s="5" t="s">
        <v>154</v>
      </c>
      <c r="N9" s="80">
        <f>IF(total_ps&gt;30, ((total_ps+total_ps*excel_carry%)*50), IF(total_ps&gt;17,total_ps*50, total_ps*20))</f>
        <v>0</v>
      </c>
      <c r="P9" s="851" t="s">
        <v>551</v>
      </c>
      <c r="Q9" s="80" t="s">
        <v>546</v>
      </c>
      <c r="R9" s="1"/>
      <c r="S9" s="140" t="str">
        <f>IF(occ="Not Selected", "", VLOOKUP(occ, exp_chart, 6, FALSE))</f>
        <v/>
      </c>
      <c r="T9" s="141">
        <v>5</v>
      </c>
      <c r="U9" s="807"/>
      <c r="V9" s="808"/>
      <c r="W9" s="808"/>
      <c r="X9" s="808"/>
      <c r="Y9" s="809"/>
    </row>
    <row r="10" spans="1:25" ht="14.25" customHeight="1" x14ac:dyDescent="0.25">
      <c r="A10" s="1"/>
      <c r="B10" s="1"/>
      <c r="C10" s="1"/>
      <c r="D10" s="1"/>
      <c r="E10" s="1"/>
      <c r="F10" s="1"/>
      <c r="G10" s="1"/>
      <c r="H10" s="1"/>
      <c r="I10" s="1"/>
      <c r="J10" s="1"/>
      <c r="K10" s="1"/>
      <c r="M10" s="858" t="s">
        <v>155</v>
      </c>
      <c r="N10" s="859"/>
      <c r="P10" s="851"/>
      <c r="Q10" s="80" t="s">
        <v>547</v>
      </c>
      <c r="R10" s="1"/>
      <c r="S10" s="140" t="str">
        <f>IF(occ="Not Selected", "", VLOOKUP(occ, exp_chart, 7, FALSE))</f>
        <v/>
      </c>
      <c r="T10" s="141">
        <v>6</v>
      </c>
      <c r="U10" s="807"/>
      <c r="V10" s="808"/>
      <c r="W10" s="808"/>
      <c r="X10" s="808"/>
      <c r="Y10" s="809"/>
    </row>
    <row r="11" spans="1:25" ht="14.25" customHeight="1" x14ac:dyDescent="0.25">
      <c r="A11" s="821" t="s">
        <v>638</v>
      </c>
      <c r="B11" s="821"/>
      <c r="C11" s="821"/>
      <c r="D11" s="823" t="s">
        <v>639</v>
      </c>
      <c r="E11" s="823"/>
      <c r="F11" s="822" t="s">
        <v>646</v>
      </c>
      <c r="G11" s="822"/>
      <c r="H11" s="123" t="s">
        <v>12</v>
      </c>
      <c r="I11" s="822" t="s">
        <v>553</v>
      </c>
      <c r="J11" s="822"/>
      <c r="K11" s="822"/>
      <c r="M11" s="5" t="s">
        <v>151</v>
      </c>
      <c r="N11" s="80">
        <f>IF(total_ps&gt;19, (total_ps+200+excel_carry), total_ps+50)</f>
        <v>50</v>
      </c>
      <c r="P11" s="851"/>
      <c r="Q11" s="159"/>
      <c r="R11" s="1"/>
      <c r="S11" s="140" t="str">
        <f>IF(occ="Not Selected", "", VLOOKUP(occ, exp_chart, 8, FALSE))</f>
        <v/>
      </c>
      <c r="T11" s="141">
        <v>7</v>
      </c>
      <c r="U11" s="807"/>
      <c r="V11" s="808"/>
      <c r="W11" s="808"/>
      <c r="X11" s="808"/>
      <c r="Y11" s="809"/>
    </row>
    <row r="12" spans="1:25" ht="14.25" customHeight="1" thickBot="1" x14ac:dyDescent="0.3">
      <c r="M12" s="5" t="s">
        <v>153</v>
      </c>
      <c r="N12" s="80">
        <f>total_ps+200+excel_carry</f>
        <v>200</v>
      </c>
      <c r="P12" s="851" t="s">
        <v>552</v>
      </c>
      <c r="Q12" s="80" t="s">
        <v>548</v>
      </c>
      <c r="R12" s="1"/>
      <c r="S12" s="140" t="str">
        <f>IF(occ="Not Selected", "", VLOOKUP(occ, exp_chart, 9, FALSE))</f>
        <v/>
      </c>
      <c r="T12" s="141">
        <v>8</v>
      </c>
      <c r="U12" s="807"/>
      <c r="V12" s="808"/>
      <c r="W12" s="808"/>
      <c r="X12" s="808"/>
      <c r="Y12" s="809"/>
    </row>
    <row r="13" spans="1:25" ht="14.25" customHeight="1" x14ac:dyDescent="0.25">
      <c r="A13" s="837" t="s">
        <v>71</v>
      </c>
      <c r="B13" s="838"/>
      <c r="C13" s="836" t="s">
        <v>214</v>
      </c>
      <c r="D13" s="836"/>
      <c r="E13" s="836"/>
      <c r="F13" s="838" t="s">
        <v>146</v>
      </c>
      <c r="G13" s="838"/>
      <c r="H13" s="62"/>
      <c r="I13" s="838" t="s">
        <v>258</v>
      </c>
      <c r="J13" s="838"/>
      <c r="K13" s="63"/>
      <c r="M13" s="5" t="s">
        <v>154</v>
      </c>
      <c r="N13" s="80">
        <f>IF(total_ps&gt;17, (total_ps+300+excel_carry), total_ps+200)</f>
        <v>200</v>
      </c>
      <c r="P13" s="851"/>
      <c r="Q13" s="80" t="s">
        <v>549</v>
      </c>
      <c r="R13" s="1"/>
      <c r="S13" s="140" t="str">
        <f>IF(occ="Not Selected", "", VLOOKUP(occ, exp_chart, 10, FALSE))</f>
        <v/>
      </c>
      <c r="T13" s="141">
        <v>9</v>
      </c>
      <c r="U13" s="807"/>
      <c r="V13" s="808"/>
      <c r="W13" s="808"/>
      <c r="X13" s="808"/>
      <c r="Y13" s="809"/>
    </row>
    <row r="14" spans="1:25" ht="14.25" customHeight="1" thickBot="1" x14ac:dyDescent="0.3">
      <c r="A14" s="839" t="s">
        <v>81</v>
      </c>
      <c r="B14" s="840"/>
      <c r="C14" s="704">
        <f>IF(VLOOKUP(hand_to_hand&amp;" "&amp;calc_lev, hth_bonus, 10, FALSE)=0, "", (VLOOKUP(hand_to_hand&amp;" "&amp;calc_lev, hth_bonus, 10, FALSE)))</f>
        <v>20</v>
      </c>
      <c r="D14" s="651"/>
      <c r="E14" s="652"/>
      <c r="F14" s="840" t="s">
        <v>82</v>
      </c>
      <c r="G14" s="840"/>
      <c r="H14" s="96" t="str">
        <f>IF(VLOOKUP(hand_to_hand&amp;" "&amp;calc_lev, hth_bonus, 11, FALSE)=0, "", (VLOOKUP(hand_to_hand&amp;" "&amp;calc_lev, hth_bonus, 11, FALSE)))</f>
        <v/>
      </c>
      <c r="I14" s="840" t="s">
        <v>83</v>
      </c>
      <c r="J14" s="840"/>
      <c r="K14" s="77" t="str">
        <f>IF(VLOOKUP(hand_to_hand&amp;" "&amp;calc_lev, hth_bonus, 12, FALSE)=0, "", (VLOOKUP(hand_to_hand&amp;" "&amp;calc_lev, hth_bonus, 12, FALSE)))</f>
        <v/>
      </c>
      <c r="M14" s="860" t="s">
        <v>156</v>
      </c>
      <c r="N14" s="861"/>
      <c r="P14" s="851"/>
      <c r="Q14" s="80" t="s">
        <v>550</v>
      </c>
      <c r="R14" s="1"/>
      <c r="S14" s="140" t="str">
        <f>IF(occ="Not Selected", "", VLOOKUP(occ, exp_chart, 11, FALSE))</f>
        <v/>
      </c>
      <c r="T14" s="141">
        <v>10</v>
      </c>
      <c r="U14" s="807"/>
      <c r="V14" s="808"/>
      <c r="W14" s="808"/>
      <c r="X14" s="808"/>
      <c r="Y14" s="809"/>
    </row>
    <row r="15" spans="1:25" ht="14.25" customHeight="1" thickBot="1" x14ac:dyDescent="0.3">
      <c r="A15" s="1"/>
      <c r="B15" s="1"/>
      <c r="C15" s="1"/>
      <c r="D15" s="1"/>
      <c r="E15" s="1"/>
      <c r="F15" s="1"/>
      <c r="G15" s="1"/>
      <c r="H15" s="1"/>
      <c r="I15" s="1"/>
      <c r="J15" s="1"/>
      <c r="K15" s="1"/>
      <c r="M15" s="5" t="s">
        <v>151</v>
      </c>
      <c r="N15" s="80">
        <f>norm_throw/2</f>
        <v>25</v>
      </c>
      <c r="P15" s="852"/>
      <c r="Q15" s="160"/>
      <c r="R15" s="1"/>
      <c r="S15" s="140" t="str">
        <f>IF(occ="Not Selected", "", VLOOKUP(occ, exp_chart, 12, FALSE))</f>
        <v/>
      </c>
      <c r="T15" s="141">
        <v>11</v>
      </c>
      <c r="U15" s="807"/>
      <c r="V15" s="808"/>
      <c r="W15" s="808"/>
      <c r="X15" s="808"/>
      <c r="Y15" s="809"/>
    </row>
    <row r="16" spans="1:25" ht="30" customHeight="1" thickBot="1" x14ac:dyDescent="0.3">
      <c r="A16" s="831" t="s">
        <v>119</v>
      </c>
      <c r="B16" s="833"/>
      <c r="C16" s="46" t="s">
        <v>120</v>
      </c>
      <c r="D16" s="46" t="s">
        <v>121</v>
      </c>
      <c r="E16" s="46" t="s">
        <v>108</v>
      </c>
      <c r="F16" s="46" t="s">
        <v>110</v>
      </c>
      <c r="G16" s="46" t="s">
        <v>122</v>
      </c>
      <c r="H16" s="17" t="s">
        <v>123</v>
      </c>
      <c r="I16" s="1"/>
      <c r="J16" s="831" t="s">
        <v>72</v>
      </c>
      <c r="K16" s="832"/>
      <c r="M16" s="5" t="s">
        <v>153</v>
      </c>
      <c r="N16" s="80">
        <f>giant_throw/2</f>
        <v>100</v>
      </c>
      <c r="S16" s="140" t="str">
        <f>IF(occ="Not Selected", "", VLOOKUP(occ, exp_chart, 13, FALSE))</f>
        <v/>
      </c>
      <c r="T16" s="141">
        <v>12</v>
      </c>
      <c r="U16" s="807"/>
      <c r="V16" s="808"/>
      <c r="W16" s="808"/>
      <c r="X16" s="808"/>
      <c r="Y16" s="809"/>
    </row>
    <row r="17" spans="1:25" ht="14.25" customHeight="1" x14ac:dyDescent="0.25">
      <c r="A17" s="835" t="s">
        <v>102</v>
      </c>
      <c r="B17" s="673"/>
      <c r="C17" s="135"/>
      <c r="D17" s="136"/>
      <c r="E17" s="136"/>
      <c r="F17" s="136"/>
      <c r="G17" s="137">
        <f>VLOOKUP(hth&amp;" "&amp;calc_lev, hth_bonus, 2, FALSE)</f>
        <v>1</v>
      </c>
      <c r="H17" s="83">
        <f>SUM(C17:G17)</f>
        <v>1</v>
      </c>
      <c r="I17" s="1"/>
      <c r="J17" s="47" t="s">
        <v>120</v>
      </c>
      <c r="K17" s="102">
        <f>total_pe</f>
        <v>0</v>
      </c>
      <c r="M17" s="5" t="s">
        <v>154</v>
      </c>
      <c r="N17" s="80">
        <f>IF(total_ps&gt;17, (total_ps+200+excel_carry), super_throw/2)</f>
        <v>100</v>
      </c>
      <c r="S17" s="140" t="str">
        <f>IF(occ="Not Selected", "", VLOOKUP(occ, exp_chart, 14, FALSE))</f>
        <v/>
      </c>
      <c r="T17" s="141">
        <v>13</v>
      </c>
      <c r="U17" s="807" t="s">
        <v>652</v>
      </c>
      <c r="V17" s="808"/>
      <c r="W17" s="808"/>
      <c r="X17" s="808"/>
      <c r="Y17" s="809"/>
    </row>
    <row r="18" spans="1:25" ht="14.25" customHeight="1" x14ac:dyDescent="0.25">
      <c r="A18" s="719" t="s">
        <v>74</v>
      </c>
      <c r="B18" s="701"/>
      <c r="C18" s="88">
        <f>IF(total_pp&gt;45, 6, IF(total_pp&gt;30, ROUNDUP((total_pp-30)/3,0), 0))</f>
        <v>0</v>
      </c>
      <c r="D18" s="26"/>
      <c r="E18" s="26"/>
      <c r="F18" s="26"/>
      <c r="G18" s="88">
        <f>VLOOKUP(hth&amp;" "&amp;calc_lev, hth_bonus, 3, FALSE)</f>
        <v>0</v>
      </c>
      <c r="H18" s="90">
        <f t="shared" ref="H18:H25" si="1">SUM(C18:G18)</f>
        <v>0</v>
      </c>
      <c r="I18" s="1"/>
      <c r="J18" s="37" t="s">
        <v>124</v>
      </c>
      <c r="K18" s="33"/>
      <c r="M18" s="860" t="s">
        <v>157</v>
      </c>
      <c r="N18" s="861"/>
      <c r="S18" s="140" t="str">
        <f>IF(occ="Not Selected", "", VLOOKUP(occ, exp_chart, 15, FALSE))</f>
        <v/>
      </c>
      <c r="T18" s="141">
        <v>14</v>
      </c>
      <c r="U18" s="807"/>
      <c r="V18" s="808"/>
      <c r="W18" s="808"/>
      <c r="X18" s="808"/>
      <c r="Y18" s="809"/>
    </row>
    <row r="19" spans="1:25" ht="14.25" customHeight="1" thickBot="1" x14ac:dyDescent="0.3">
      <c r="A19" s="719" t="s">
        <v>75</v>
      </c>
      <c r="B19" s="701"/>
      <c r="C19" s="88">
        <f>K6</f>
        <v>0</v>
      </c>
      <c r="D19" s="26"/>
      <c r="E19" s="26"/>
      <c r="F19" s="26"/>
      <c r="G19" s="88">
        <f>VLOOKUP(hth&amp;" "&amp;calc_lev, hth_bonus, 4, FALSE)</f>
        <v>0</v>
      </c>
      <c r="H19" s="90">
        <f t="shared" si="1"/>
        <v>0</v>
      </c>
      <c r="I19" s="1"/>
      <c r="J19" s="10" t="s">
        <v>125</v>
      </c>
      <c r="K19" s="33"/>
      <c r="M19" s="5" t="s">
        <v>151</v>
      </c>
      <c r="N19" s="80">
        <f>total_ps/3</f>
        <v>0</v>
      </c>
      <c r="S19" s="142" t="str">
        <f>IF(occ="Not Selected", "", VLOOKUP(occ, exp_chart, 16, FALSE))</f>
        <v/>
      </c>
      <c r="T19" s="143">
        <v>15</v>
      </c>
      <c r="U19" s="810"/>
      <c r="V19" s="811"/>
      <c r="W19" s="811"/>
      <c r="X19" s="811"/>
      <c r="Y19" s="812"/>
    </row>
    <row r="20" spans="1:25" ht="14.25" customHeight="1" thickBot="1" x14ac:dyDescent="0.3">
      <c r="A20" s="719" t="s">
        <v>76</v>
      </c>
      <c r="B20" s="701"/>
      <c r="C20" s="88">
        <f>K6</f>
        <v>0</v>
      </c>
      <c r="D20" s="26"/>
      <c r="E20" s="26"/>
      <c r="F20" s="26"/>
      <c r="G20" s="88">
        <f>VLOOKUP(hth&amp;" "&amp;calc_lev, hth_bonus, 5, FALSE)</f>
        <v>0</v>
      </c>
      <c r="H20" s="90">
        <f t="shared" si="1"/>
        <v>0</v>
      </c>
      <c r="I20" s="1"/>
      <c r="J20" s="37" t="s">
        <v>126</v>
      </c>
      <c r="K20" s="33"/>
      <c r="M20" s="5" t="s">
        <v>153</v>
      </c>
      <c r="N20" s="80">
        <f>total_ps/3</f>
        <v>0</v>
      </c>
    </row>
    <row r="21" spans="1:25" ht="14.25" customHeight="1" thickBot="1" x14ac:dyDescent="0.3">
      <c r="A21" s="719" t="s">
        <v>77</v>
      </c>
      <c r="B21" s="701"/>
      <c r="C21" s="88">
        <f>K6</f>
        <v>0</v>
      </c>
      <c r="D21" s="26"/>
      <c r="E21" s="26"/>
      <c r="F21" s="26"/>
      <c r="G21" s="88">
        <f>VLOOKUP(hth&amp;" "&amp;calc_lev, hth_bonus, 6, FALSE)</f>
        <v>0</v>
      </c>
      <c r="H21" s="90">
        <f t="shared" si="1"/>
        <v>0</v>
      </c>
      <c r="I21" s="1"/>
      <c r="J21" s="37" t="s">
        <v>127</v>
      </c>
      <c r="K21" s="33"/>
      <c r="M21" s="6" t="s">
        <v>154</v>
      </c>
      <c r="N21" s="81">
        <f>total_ps</f>
        <v>0</v>
      </c>
      <c r="R21" s="866" t="s">
        <v>182</v>
      </c>
      <c r="S21" s="867"/>
      <c r="T21" s="144">
        <f>VLOOKUP(char_xp, Worktable!S5:T19, 2, TRUE)</f>
        <v>1</v>
      </c>
    </row>
    <row r="22" spans="1:25" ht="14.25" customHeight="1" x14ac:dyDescent="0.25">
      <c r="A22" s="719" t="s">
        <v>128</v>
      </c>
      <c r="B22" s="701"/>
      <c r="C22" s="4"/>
      <c r="D22" s="26"/>
      <c r="E22" s="26"/>
      <c r="F22" s="26"/>
      <c r="G22" s="88">
        <f>VLOOKUP(hth&amp;" "&amp;calc_lev, hth_bonus, 7, FALSE)</f>
        <v>0</v>
      </c>
      <c r="H22" s="90">
        <f t="shared" si="1"/>
        <v>0</v>
      </c>
      <c r="I22" s="1"/>
      <c r="J22" s="37" t="s">
        <v>129</v>
      </c>
      <c r="K22" s="33"/>
    </row>
    <row r="23" spans="1:25" ht="14.25" customHeight="1" x14ac:dyDescent="0.25">
      <c r="A23" s="719" t="s">
        <v>79</v>
      </c>
      <c r="B23" s="701"/>
      <c r="C23" s="4"/>
      <c r="D23" s="26"/>
      <c r="E23" s="26"/>
      <c r="F23" s="26"/>
      <c r="G23" s="88">
        <f>VLOOKUP(hth&amp;" "&amp;calc_lev, hth_bonus, 8, FALSE)</f>
        <v>0</v>
      </c>
      <c r="H23" s="90">
        <f t="shared" si="1"/>
        <v>0</v>
      </c>
      <c r="I23" s="1"/>
      <c r="J23" s="37" t="s">
        <v>130</v>
      </c>
      <c r="K23" s="33"/>
      <c r="U23" s="157"/>
    </row>
    <row r="24" spans="1:25" ht="14.25" customHeight="1" thickBot="1" x14ac:dyDescent="0.3">
      <c r="A24" s="719" t="s">
        <v>80</v>
      </c>
      <c r="B24" s="701"/>
      <c r="C24" s="88">
        <f>K5</f>
        <v>0</v>
      </c>
      <c r="D24" s="26"/>
      <c r="E24" s="26"/>
      <c r="F24" s="26"/>
      <c r="G24" s="88">
        <f>VLOOKUP(hth&amp;" "&amp;calc_lev, hth_bonus, 9, FALSE)</f>
        <v>0</v>
      </c>
      <c r="H24" s="90">
        <f t="shared" si="1"/>
        <v>0</v>
      </c>
      <c r="I24" s="1"/>
      <c r="J24" s="10" t="s">
        <v>131</v>
      </c>
      <c r="K24" s="33"/>
      <c r="U24" s="157"/>
    </row>
    <row r="25" spans="1:25" ht="14.25" customHeight="1" thickBot="1" x14ac:dyDescent="0.3">
      <c r="A25" s="834" t="s">
        <v>73</v>
      </c>
      <c r="B25" s="702"/>
      <c r="C25" s="8"/>
      <c r="D25" s="27"/>
      <c r="E25" s="27"/>
      <c r="F25" s="27"/>
      <c r="G25" s="27"/>
      <c r="H25" s="110">
        <f t="shared" si="1"/>
        <v>0</v>
      </c>
      <c r="I25" s="1"/>
      <c r="J25" s="37" t="s">
        <v>132</v>
      </c>
      <c r="K25" s="33"/>
      <c r="M25" s="813"/>
      <c r="N25" s="814"/>
      <c r="O25" s="817" t="s">
        <v>108</v>
      </c>
      <c r="P25" s="817" t="s">
        <v>120</v>
      </c>
      <c r="Q25" s="817" t="s">
        <v>121</v>
      </c>
      <c r="R25" s="817" t="s">
        <v>134</v>
      </c>
      <c r="S25" s="817" t="s">
        <v>111</v>
      </c>
      <c r="T25" s="819" t="s">
        <v>123</v>
      </c>
      <c r="U25" s="157"/>
    </row>
    <row r="26" spans="1:25" ht="14.25" customHeight="1" x14ac:dyDescent="0.25">
      <c r="A26" s="2"/>
      <c r="B26" s="2"/>
      <c r="C26" s="1"/>
      <c r="D26" s="1"/>
      <c r="E26" s="1"/>
      <c r="F26" s="1"/>
      <c r="G26" s="1"/>
      <c r="H26" s="1"/>
      <c r="I26" s="1"/>
      <c r="J26" s="37" t="s">
        <v>133</v>
      </c>
      <c r="K26" s="33"/>
      <c r="M26" s="815"/>
      <c r="N26" s="816"/>
      <c r="O26" s="818"/>
      <c r="P26" s="818"/>
      <c r="Q26" s="818"/>
      <c r="R26" s="818"/>
      <c r="S26" s="818"/>
      <c r="T26" s="820"/>
      <c r="U26" s="157"/>
    </row>
    <row r="27" spans="1:25" ht="14.25" customHeight="1" thickBot="1" x14ac:dyDescent="0.3">
      <c r="A27" s="1"/>
      <c r="B27" s="1"/>
      <c r="C27" s="1"/>
      <c r="D27" s="1"/>
      <c r="E27" s="1"/>
      <c r="F27" s="1"/>
      <c r="G27" s="1"/>
      <c r="H27" s="1"/>
      <c r="I27" s="1"/>
      <c r="J27" s="37" t="s">
        <v>135</v>
      </c>
      <c r="K27" s="33"/>
      <c r="M27" s="849" t="s">
        <v>20</v>
      </c>
      <c r="N27" s="850"/>
      <c r="O27" s="27"/>
      <c r="P27" s="27"/>
      <c r="Q27" s="27"/>
      <c r="R27" s="27"/>
      <c r="S27" s="27"/>
      <c r="T27" s="81">
        <f>SUM(O27:S27)</f>
        <v>0</v>
      </c>
      <c r="U27" s="157"/>
    </row>
    <row r="28" spans="1:25" ht="26.25" thickBot="1" x14ac:dyDescent="0.3">
      <c r="A28" s="862" t="s">
        <v>138</v>
      </c>
      <c r="B28" s="863"/>
      <c r="C28" s="46" t="s">
        <v>120</v>
      </c>
      <c r="D28" s="46" t="s">
        <v>121</v>
      </c>
      <c r="E28" s="46" t="s">
        <v>108</v>
      </c>
      <c r="F28" s="46" t="s">
        <v>110</v>
      </c>
      <c r="G28" s="46" t="s">
        <v>111</v>
      </c>
      <c r="H28" s="17" t="s">
        <v>112</v>
      </c>
      <c r="I28" s="1"/>
      <c r="J28" s="37" t="s">
        <v>136</v>
      </c>
      <c r="K28" s="33"/>
      <c r="U28" s="157"/>
    </row>
    <row r="29" spans="1:25" ht="14.25" customHeight="1" x14ac:dyDescent="0.25">
      <c r="A29" s="864" t="s">
        <v>58</v>
      </c>
      <c r="B29" s="865"/>
      <c r="C29" s="109">
        <f>I7</f>
        <v>0</v>
      </c>
      <c r="D29" s="28"/>
      <c r="E29" s="28"/>
      <c r="F29" s="28"/>
      <c r="G29" s="28"/>
      <c r="H29" s="106">
        <f>SUM(C29:G29)</f>
        <v>0</v>
      </c>
      <c r="I29" s="1"/>
      <c r="J29" s="10" t="s">
        <v>137</v>
      </c>
      <c r="K29" s="33"/>
      <c r="M29" s="813"/>
      <c r="N29" s="814"/>
      <c r="O29" s="817" t="s">
        <v>108</v>
      </c>
      <c r="P29" s="817" t="s">
        <v>120</v>
      </c>
      <c r="Q29" s="817" t="s">
        <v>121</v>
      </c>
      <c r="R29" s="817" t="s">
        <v>134</v>
      </c>
      <c r="S29" s="817" t="s">
        <v>111</v>
      </c>
      <c r="T29" s="819" t="s">
        <v>123</v>
      </c>
      <c r="U29" s="157"/>
    </row>
    <row r="30" spans="1:25" ht="14.25" customHeight="1" x14ac:dyDescent="0.25">
      <c r="A30" s="843" t="s">
        <v>62</v>
      </c>
      <c r="B30" s="844"/>
      <c r="C30" s="101">
        <f>I3</f>
        <v>0</v>
      </c>
      <c r="D30" s="29"/>
      <c r="E30" s="29"/>
      <c r="F30" s="29"/>
      <c r="G30" s="29"/>
      <c r="H30" s="107">
        <f>SUM(C30:G30)</f>
        <v>0</v>
      </c>
      <c r="I30" s="1"/>
      <c r="J30" s="37" t="s">
        <v>139</v>
      </c>
      <c r="K30" s="33"/>
      <c r="M30" s="815"/>
      <c r="N30" s="816"/>
      <c r="O30" s="818"/>
      <c r="P30" s="818"/>
      <c r="Q30" s="818"/>
      <c r="R30" s="818"/>
      <c r="S30" s="818"/>
      <c r="T30" s="820"/>
      <c r="U30" s="157"/>
    </row>
    <row r="31" spans="1:25" ht="14.25" customHeight="1" thickBot="1" x14ac:dyDescent="0.3">
      <c r="A31" s="843" t="s">
        <v>66</v>
      </c>
      <c r="B31" s="844"/>
      <c r="C31" s="101">
        <f>K3</f>
        <v>0</v>
      </c>
      <c r="D31" s="29"/>
      <c r="E31" s="29"/>
      <c r="F31" s="29"/>
      <c r="G31" s="29"/>
      <c r="H31" s="107">
        <f t="shared" ref="H31:H40" si="2">SUM(C31:G31)</f>
        <v>0</v>
      </c>
      <c r="J31" s="37" t="s">
        <v>140</v>
      </c>
      <c r="K31" s="33"/>
      <c r="M31" s="849" t="s">
        <v>150</v>
      </c>
      <c r="N31" s="850"/>
      <c r="O31" s="27"/>
      <c r="P31" s="27"/>
      <c r="Q31" s="27"/>
      <c r="R31" s="27"/>
      <c r="S31" s="27"/>
      <c r="T31" s="81">
        <f>SUM(O31:S31)</f>
        <v>0</v>
      </c>
    </row>
    <row r="32" spans="1:25" x14ac:dyDescent="0.25">
      <c r="A32" s="843" t="s">
        <v>63</v>
      </c>
      <c r="B32" s="844"/>
      <c r="C32" s="101">
        <f>K7</f>
        <v>0</v>
      </c>
      <c r="D32" s="29"/>
      <c r="E32" s="29"/>
      <c r="F32" s="29"/>
      <c r="G32" s="29"/>
      <c r="H32" s="107">
        <f t="shared" si="2"/>
        <v>0</v>
      </c>
      <c r="J32" s="37" t="s">
        <v>141</v>
      </c>
      <c r="K32" s="33"/>
    </row>
    <row r="33" spans="1:14" ht="14.25" customHeight="1" x14ac:dyDescent="0.25">
      <c r="A33" s="845" t="s">
        <v>67</v>
      </c>
      <c r="B33" s="846"/>
      <c r="C33" s="101">
        <f>K7</f>
        <v>0</v>
      </c>
      <c r="D33" s="29"/>
      <c r="E33" s="29"/>
      <c r="F33" s="29"/>
      <c r="G33" s="29"/>
      <c r="H33" s="107">
        <f t="shared" si="2"/>
        <v>0</v>
      </c>
      <c r="J33" s="37" t="s">
        <v>142</v>
      </c>
      <c r="K33" s="33"/>
    </row>
    <row r="34" spans="1:14" ht="14.25" customHeight="1" thickBot="1" x14ac:dyDescent="0.3">
      <c r="A34" s="843" t="s">
        <v>144</v>
      </c>
      <c r="B34" s="844"/>
      <c r="C34" s="101">
        <f>K7</f>
        <v>0</v>
      </c>
      <c r="D34" s="29"/>
      <c r="E34" s="29"/>
      <c r="F34" s="29"/>
      <c r="G34" s="29"/>
      <c r="H34" s="107">
        <f t="shared" si="2"/>
        <v>0</v>
      </c>
      <c r="J34" s="45" t="s">
        <v>143</v>
      </c>
      <c r="K34" s="77">
        <f>SUM(K17:K33)</f>
        <v>0</v>
      </c>
    </row>
    <row r="35" spans="1:14" ht="14.25" customHeight="1" x14ac:dyDescent="0.25">
      <c r="A35" s="843" t="s">
        <v>145</v>
      </c>
      <c r="B35" s="844"/>
      <c r="C35" s="101">
        <f>K7</f>
        <v>0</v>
      </c>
      <c r="D35" s="29"/>
      <c r="E35" s="29"/>
      <c r="F35" s="29"/>
      <c r="G35" s="29"/>
      <c r="H35" s="107">
        <f t="shared" si="2"/>
        <v>0</v>
      </c>
    </row>
    <row r="36" spans="1:14" ht="14.25" customHeight="1" x14ac:dyDescent="0.25">
      <c r="A36" s="843" t="s">
        <v>146</v>
      </c>
      <c r="B36" s="844"/>
      <c r="C36" s="3"/>
      <c r="D36" s="29"/>
      <c r="E36" s="29"/>
      <c r="F36" s="29"/>
      <c r="G36" s="29"/>
      <c r="H36" s="107">
        <f t="shared" si="2"/>
        <v>0</v>
      </c>
    </row>
    <row r="37" spans="1:14" ht="14.25" customHeight="1" x14ac:dyDescent="0.25">
      <c r="A37" s="845" t="s">
        <v>147</v>
      </c>
      <c r="B37" s="846"/>
      <c r="C37" s="3"/>
      <c r="D37" s="29"/>
      <c r="E37" s="29"/>
      <c r="F37" s="29"/>
      <c r="G37" s="29"/>
      <c r="H37" s="107">
        <f t="shared" si="2"/>
        <v>0</v>
      </c>
    </row>
    <row r="38" spans="1:14" ht="14.25" customHeight="1" x14ac:dyDescent="0.25">
      <c r="A38" s="843" t="s">
        <v>65</v>
      </c>
      <c r="B38" s="844"/>
      <c r="C38" s="101">
        <f>IF(total_iq&gt;48, 7, IF(total_iq&gt;30, ROUNDUP((total_iq-30)/3,0), 0))</f>
        <v>0</v>
      </c>
      <c r="D38" s="29"/>
      <c r="E38" s="29"/>
      <c r="F38" s="29"/>
      <c r="G38" s="29"/>
      <c r="H38" s="107">
        <f t="shared" si="2"/>
        <v>0</v>
      </c>
    </row>
    <row r="39" spans="1:14" ht="14.25" customHeight="1" x14ac:dyDescent="0.25">
      <c r="A39" s="843" t="s">
        <v>61</v>
      </c>
      <c r="B39" s="844"/>
      <c r="C39" s="101">
        <f>IF(total_me&gt;30, ROUNDUP((total_me-30)/10,0), 0)</f>
        <v>0</v>
      </c>
      <c r="D39" s="29"/>
      <c r="E39" s="29"/>
      <c r="F39" s="29"/>
      <c r="G39" s="29"/>
      <c r="H39" s="107">
        <f t="shared" si="2"/>
        <v>0</v>
      </c>
    </row>
    <row r="40" spans="1:14" ht="14.25" customHeight="1" thickBot="1" x14ac:dyDescent="0.3">
      <c r="A40" s="841" t="s">
        <v>69</v>
      </c>
      <c r="B40" s="842"/>
      <c r="C40" s="9"/>
      <c r="D40" s="30"/>
      <c r="E40" s="30"/>
      <c r="F40" s="30"/>
      <c r="G40" s="30"/>
      <c r="H40" s="108">
        <f t="shared" si="2"/>
        <v>0</v>
      </c>
    </row>
    <row r="41" spans="1:14" ht="14.25" customHeight="1" thickBot="1" x14ac:dyDescent="0.3">
      <c r="A41" s="804" t="s">
        <v>148</v>
      </c>
      <c r="B41" s="805"/>
      <c r="C41" s="805"/>
      <c r="D41" s="805"/>
      <c r="E41" s="805"/>
      <c r="F41" s="805"/>
      <c r="G41" s="805"/>
      <c r="H41" s="806"/>
      <c r="M41" s="847" t="s">
        <v>158</v>
      </c>
      <c r="N41" s="848"/>
    </row>
    <row r="42" spans="1:14" ht="14.25" customHeight="1" x14ac:dyDescent="0.25">
      <c r="A42" s="807"/>
      <c r="B42" s="808"/>
      <c r="C42" s="808"/>
      <c r="D42" s="808"/>
      <c r="E42" s="808"/>
      <c r="F42" s="808"/>
      <c r="G42" s="808"/>
      <c r="H42" s="809"/>
      <c r="M42" s="146" t="s">
        <v>159</v>
      </c>
      <c r="N42" s="147" t="s">
        <v>160</v>
      </c>
    </row>
    <row r="43" spans="1:14" ht="14.25" customHeight="1" x14ac:dyDescent="0.25">
      <c r="A43" s="807"/>
      <c r="B43" s="808"/>
      <c r="C43" s="808"/>
      <c r="D43" s="808"/>
      <c r="E43" s="808"/>
      <c r="F43" s="808"/>
      <c r="G43" s="808"/>
      <c r="H43" s="809"/>
      <c r="M43" s="148" t="s">
        <v>161</v>
      </c>
      <c r="N43" s="80" t="s">
        <v>56</v>
      </c>
    </row>
    <row r="44" spans="1:14" ht="14.25" customHeight="1" thickBot="1" x14ac:dyDescent="0.3">
      <c r="A44" s="807"/>
      <c r="B44" s="808"/>
      <c r="C44" s="808"/>
      <c r="D44" s="808"/>
      <c r="E44" s="808"/>
      <c r="F44" s="808"/>
      <c r="G44" s="808"/>
      <c r="H44" s="809"/>
      <c r="M44" s="149" t="s">
        <v>162</v>
      </c>
      <c r="N44" s="81" t="s">
        <v>36</v>
      </c>
    </row>
    <row r="45" spans="1:14" ht="14.25" customHeight="1" x14ac:dyDescent="0.25">
      <c r="A45" s="807"/>
      <c r="B45" s="808"/>
      <c r="C45" s="808"/>
      <c r="D45" s="808"/>
      <c r="E45" s="808"/>
      <c r="F45" s="808"/>
      <c r="G45" s="808"/>
      <c r="H45" s="809"/>
    </row>
    <row r="46" spans="1:14" ht="14.25" customHeight="1" thickBot="1" x14ac:dyDescent="0.3">
      <c r="A46" s="810"/>
      <c r="B46" s="811"/>
      <c r="C46" s="811"/>
      <c r="D46" s="811"/>
      <c r="E46" s="811"/>
      <c r="F46" s="811"/>
      <c r="G46" s="811"/>
      <c r="H46" s="812"/>
    </row>
    <row r="49" spans="1:8" x14ac:dyDescent="0.25">
      <c r="A49" s="73"/>
      <c r="B49" s="73"/>
      <c r="C49" s="1"/>
      <c r="D49" s="1"/>
      <c r="E49" s="1"/>
      <c r="F49" s="1"/>
      <c r="G49" s="1"/>
      <c r="H49" s="1"/>
    </row>
  </sheetData>
  <sheetProtection algorithmName="SHA-512" hashValue="tNq6BDY/LQAHy8Qu6lAxLu29QFOL6DE4YsgsjwSTZOgjf+7CrhRlcK4eNSrhQTCMCACkix91UDTkKSxRJvhHNA==" saltValue="vKRDzUp3cRui/FBXBnY/3g==" spinCount="100000" sheet="1" objects="1" selectLockedCells="1"/>
  <mergeCells count="76">
    <mergeCell ref="U17:Y19"/>
    <mergeCell ref="A21:B21"/>
    <mergeCell ref="A28:B28"/>
    <mergeCell ref="A29:B29"/>
    <mergeCell ref="M18:N18"/>
    <mergeCell ref="A22:B22"/>
    <mergeCell ref="A23:B23"/>
    <mergeCell ref="T25:T26"/>
    <mergeCell ref="R21:S21"/>
    <mergeCell ref="M41:N41"/>
    <mergeCell ref="J16:K16"/>
    <mergeCell ref="M27:N27"/>
    <mergeCell ref="P6:P8"/>
    <mergeCell ref="P9:P11"/>
    <mergeCell ref="P12:P15"/>
    <mergeCell ref="M31:N31"/>
    <mergeCell ref="H6:J6"/>
    <mergeCell ref="H8:J8"/>
    <mergeCell ref="H9:K9"/>
    <mergeCell ref="M6:N6"/>
    <mergeCell ref="M10:N10"/>
    <mergeCell ref="M14:N14"/>
    <mergeCell ref="A40:B40"/>
    <mergeCell ref="A30:B30"/>
    <mergeCell ref="A31:B31"/>
    <mergeCell ref="A37:B37"/>
    <mergeCell ref="A33:B33"/>
    <mergeCell ref="A39:B39"/>
    <mergeCell ref="A34:B34"/>
    <mergeCell ref="A35:B35"/>
    <mergeCell ref="A36:B36"/>
    <mergeCell ref="A38:B38"/>
    <mergeCell ref="A32:B32"/>
    <mergeCell ref="C13:E13"/>
    <mergeCell ref="A13:B13"/>
    <mergeCell ref="I13:J13"/>
    <mergeCell ref="F13:G13"/>
    <mergeCell ref="A14:B14"/>
    <mergeCell ref="F14:G14"/>
    <mergeCell ref="I14:J14"/>
    <mergeCell ref="C14:E14"/>
    <mergeCell ref="A16:B16"/>
    <mergeCell ref="A24:B24"/>
    <mergeCell ref="A25:B25"/>
    <mergeCell ref="A17:B17"/>
    <mergeCell ref="A18:B18"/>
    <mergeCell ref="A19:B19"/>
    <mergeCell ref="A20:B20"/>
    <mergeCell ref="H1:K1"/>
    <mergeCell ref="H2:J2"/>
    <mergeCell ref="P3:Q3"/>
    <mergeCell ref="M3:N3"/>
    <mergeCell ref="M4:N4"/>
    <mergeCell ref="H4:J4"/>
    <mergeCell ref="A11:C11"/>
    <mergeCell ref="F11:G11"/>
    <mergeCell ref="D11:E11"/>
    <mergeCell ref="I11:K11"/>
    <mergeCell ref="P4:Q4"/>
    <mergeCell ref="H5:J5"/>
    <mergeCell ref="U3:Y16"/>
    <mergeCell ref="A41:H46"/>
    <mergeCell ref="S3:T3"/>
    <mergeCell ref="M29:N30"/>
    <mergeCell ref="O29:O30"/>
    <mergeCell ref="P29:P30"/>
    <mergeCell ref="Q29:Q30"/>
    <mergeCell ref="R29:R30"/>
    <mergeCell ref="S29:S30"/>
    <mergeCell ref="T29:T30"/>
    <mergeCell ref="M25:N26"/>
    <mergeCell ref="O25:O26"/>
    <mergeCell ref="P25:P26"/>
    <mergeCell ref="Q25:Q26"/>
    <mergeCell ref="R25:R26"/>
    <mergeCell ref="S25:S26"/>
  </mergeCells>
  <dataValidations count="5">
    <dataValidation type="list" allowBlank="1" showInputMessage="1" showErrorMessage="1" sqref="M4:N6" xr:uid="{00000000-0002-0000-0200-000000000000}">
      <formula1>"Normal, Giant, Supernatural"</formula1>
    </dataValidation>
    <dataValidation type="list" allowBlank="1" showInputMessage="1" showErrorMessage="1" sqref="F11:G11" xr:uid="{ED0338B1-9AD8-4DD3-B197-8AEC005A2AA9}">
      <formula1>occ_list</formula1>
    </dataValidation>
    <dataValidation type="list" allowBlank="1" showInputMessage="1" showErrorMessage="1" sqref="I11:K11" xr:uid="{6D35DDB1-ABD9-434E-9A48-3B81F20E25CF}">
      <formula1>INDIRECT(occ_cat)</formula1>
    </dataValidation>
    <dataValidation type="list" allowBlank="1" showInputMessage="1" showErrorMessage="1" sqref="P4:Q4" xr:uid="{525332F2-E5E7-4EC3-ADA7-46CE0AAD67FE}">
      <formula1>alignment</formula1>
    </dataValidation>
    <dataValidation type="list" allowBlank="1" showInputMessage="1" showErrorMessage="1" sqref="C13:E13" xr:uid="{44B8DA62-610E-40A9-B838-B5B6944B7D72}">
      <formula1>hth_list</formula1>
    </dataValidation>
  </dataValidations>
  <pageMargins left="0.7" right="0.7" top="0.75" bottom="0.75" header="0.3" footer="0.3"/>
  <pageSetup orientation="portrait" horizontalDpi="4294967293"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92D050"/>
  </sheetPr>
  <dimension ref="A1:Q46"/>
  <sheetViews>
    <sheetView showGridLines="0" zoomScaleNormal="100" workbookViewId="0">
      <pane ySplit="1" topLeftCell="A2" activePane="bottomLeft" state="frozen"/>
      <selection pane="bottomLeft" activeCell="A2" sqref="A2:B2"/>
    </sheetView>
  </sheetViews>
  <sheetFormatPr defaultRowHeight="15" x14ac:dyDescent="0.25"/>
  <cols>
    <col min="1" max="5" width="8.140625" customWidth="1"/>
    <col min="6" max="6" width="4.28515625" customWidth="1"/>
    <col min="7" max="7" width="6" customWidth="1"/>
    <col min="8" max="8" width="6.140625" customWidth="1"/>
    <col min="9" max="9" width="5.42578125" customWidth="1"/>
    <col min="10" max="10" width="6.140625" customWidth="1"/>
    <col min="11" max="11" width="7.85546875" customWidth="1"/>
    <col min="12" max="12" width="8.42578125" customWidth="1"/>
    <col min="13" max="13" width="6.140625" customWidth="1"/>
    <col min="14" max="14" width="5.28515625" customWidth="1"/>
    <col min="15" max="15" width="5.7109375" customWidth="1"/>
    <col min="16" max="17" width="6.140625" customWidth="1"/>
  </cols>
  <sheetData>
    <row r="1" spans="1:17" ht="28.5" customHeight="1" thickBot="1" x14ac:dyDescent="0.3">
      <c r="A1" s="872" t="s">
        <v>541</v>
      </c>
      <c r="B1" s="873"/>
      <c r="C1" s="873" t="s">
        <v>55</v>
      </c>
      <c r="D1" s="873"/>
      <c r="E1" s="875"/>
      <c r="F1" s="213" t="s">
        <v>163</v>
      </c>
      <c r="G1" s="125" t="s">
        <v>164</v>
      </c>
      <c r="H1" s="125" t="s">
        <v>165</v>
      </c>
      <c r="I1" s="125" t="s">
        <v>166</v>
      </c>
      <c r="J1" s="125" t="s">
        <v>120</v>
      </c>
      <c r="K1" s="125" t="s">
        <v>642</v>
      </c>
      <c r="L1" s="125" t="s">
        <v>167</v>
      </c>
      <c r="M1" s="125" t="s">
        <v>121</v>
      </c>
      <c r="N1" s="99" t="s">
        <v>168</v>
      </c>
      <c r="O1" s="213" t="s">
        <v>143</v>
      </c>
      <c r="P1" s="126" t="s">
        <v>169</v>
      </c>
      <c r="Q1" s="127" t="s">
        <v>170</v>
      </c>
    </row>
    <row r="2" spans="1:17" ht="15" customHeight="1" x14ac:dyDescent="0.25">
      <c r="A2" s="868" t="s">
        <v>647</v>
      </c>
      <c r="B2" s="869"/>
      <c r="C2" s="869"/>
      <c r="D2" s="869"/>
      <c r="E2" s="876"/>
      <c r="F2" s="216" t="str">
        <f t="shared" ref="F2:F46" si="0">IF(C2="", "", IF(VLOOKUP(C2, skills_chart, 3, FALSE)=0, "", (VLOOKUP(C2, skills_chart, 3, FALSE))))</f>
        <v/>
      </c>
      <c r="G2" s="218" t="str">
        <f t="shared" ref="G2:G46" si="1">IF(C2="", "", IF(VLOOKUP(C2, skills_chart, 4, FALSE)=0, "", (VLOOKUP(C2, skills_chart, 4, FALSE))))</f>
        <v/>
      </c>
      <c r="H2" s="151" t="str">
        <f>IF(C2="", "", IF(VLOOKUP(C2, skills_chart, 5, FALSE)=0, "", (VLOOKUP(C2, skills_chart, 5, FALSE))))</f>
        <v/>
      </c>
      <c r="I2" s="109" t="str">
        <f t="shared" ref="I2:I46" si="2">IF(C2="", "", IF(VLOOKUP(C2, skills_chart, 6, FALSE)=0, "", (VLOOKUP(C2, skills_chart, 6, FALSE))))</f>
        <v/>
      </c>
      <c r="J2" s="109" t="str">
        <f t="shared" ref="J2:J46" si="3">IF(C2="", "", IF(bonus_skill+VLOOKUP(C2, skills_chart, 7, FALSE)=0, "", bonus_skill+VLOOKUP(C2, skills_chart, 7, FALSE)))</f>
        <v/>
      </c>
      <c r="K2" s="109" t="str">
        <f t="shared" ref="K2:K46" si="4">IF(C2="", "", IF(VLOOKUP(C2, skills_chart, 8, FALSE)=0, "", VLOOKUP(C2, skills_chart, 8, FALSE)))</f>
        <v/>
      </c>
      <c r="L2" s="214">
        <v>1</v>
      </c>
      <c r="M2" s="28"/>
      <c r="N2" s="74"/>
      <c r="O2" s="216" t="str">
        <f t="shared" ref="O2:O46" si="5">IF(F2="", "", F2+SUM(J2:K2)+SUM(M2:N2)+I2*(calc_lev-L2))</f>
        <v/>
      </c>
      <c r="P2" s="218" t="str">
        <f t="shared" ref="P2:P46" si="6">IF(G2="", "", IF(G2=0, "", G2+SUM(J2:K2)+SUM(M2:N2)+I2*(calc_lev-L2)))</f>
        <v/>
      </c>
      <c r="Q2" s="220" t="str">
        <f t="shared" ref="Q2:Q46" si="7">IF(H2="", "", IF(H2=0, "", H2+SUM(J2:K2)+SUM(M2:N2)+I2*(calc_lev-L2)))</f>
        <v/>
      </c>
    </row>
    <row r="3" spans="1:17" ht="15" customHeight="1" x14ac:dyDescent="0.25">
      <c r="A3" s="868" t="s">
        <v>647</v>
      </c>
      <c r="B3" s="869"/>
      <c r="C3" s="822"/>
      <c r="D3" s="822"/>
      <c r="E3" s="874"/>
      <c r="F3" s="216" t="str">
        <f t="shared" si="0"/>
        <v/>
      </c>
      <c r="G3" s="218" t="str">
        <f t="shared" si="1"/>
        <v/>
      </c>
      <c r="H3" s="151" t="str">
        <f t="shared" ref="H3:H46" si="8">IF(C3="", "", IF(VLOOKUP(C3, skills_chart, 5, FALSE)=0, "", (VLOOKUP(C3, skills_chart, 5, FALSE))))</f>
        <v/>
      </c>
      <c r="I3" s="109" t="str">
        <f t="shared" si="2"/>
        <v/>
      </c>
      <c r="J3" s="101" t="str">
        <f t="shared" si="3"/>
        <v/>
      </c>
      <c r="K3" s="101" t="str">
        <f t="shared" si="4"/>
        <v/>
      </c>
      <c r="L3" s="214">
        <v>1</v>
      </c>
      <c r="M3" s="28"/>
      <c r="N3" s="74"/>
      <c r="O3" s="216" t="str">
        <f t="shared" si="5"/>
        <v/>
      </c>
      <c r="P3" s="218" t="str">
        <f t="shared" si="6"/>
        <v/>
      </c>
      <c r="Q3" s="220" t="str">
        <f t="shared" si="7"/>
        <v/>
      </c>
    </row>
    <row r="4" spans="1:17" ht="15" customHeight="1" x14ac:dyDescent="0.25">
      <c r="A4" s="868" t="s">
        <v>647</v>
      </c>
      <c r="B4" s="869"/>
      <c r="C4" s="822"/>
      <c r="D4" s="822"/>
      <c r="E4" s="874"/>
      <c r="F4" s="216" t="str">
        <f t="shared" si="0"/>
        <v/>
      </c>
      <c r="G4" s="218" t="str">
        <f t="shared" si="1"/>
        <v/>
      </c>
      <c r="H4" s="151" t="str">
        <f t="shared" si="8"/>
        <v/>
      </c>
      <c r="I4" s="109" t="str">
        <f t="shared" si="2"/>
        <v/>
      </c>
      <c r="J4" s="101" t="str">
        <f t="shared" si="3"/>
        <v/>
      </c>
      <c r="K4" s="101" t="str">
        <f t="shared" si="4"/>
        <v/>
      </c>
      <c r="L4" s="214">
        <v>1</v>
      </c>
      <c r="M4" s="28"/>
      <c r="N4" s="74"/>
      <c r="O4" s="216" t="str">
        <f t="shared" si="5"/>
        <v/>
      </c>
      <c r="P4" s="218" t="str">
        <f t="shared" si="6"/>
        <v/>
      </c>
      <c r="Q4" s="220" t="str">
        <f t="shared" si="7"/>
        <v/>
      </c>
    </row>
    <row r="5" spans="1:17" ht="15" customHeight="1" x14ac:dyDescent="0.25">
      <c r="A5" s="868" t="s">
        <v>647</v>
      </c>
      <c r="B5" s="869"/>
      <c r="C5" s="822"/>
      <c r="D5" s="822"/>
      <c r="E5" s="874"/>
      <c r="F5" s="216" t="str">
        <f t="shared" si="0"/>
        <v/>
      </c>
      <c r="G5" s="218" t="str">
        <f t="shared" si="1"/>
        <v/>
      </c>
      <c r="H5" s="151" t="str">
        <f t="shared" si="8"/>
        <v/>
      </c>
      <c r="I5" s="109" t="str">
        <f t="shared" si="2"/>
        <v/>
      </c>
      <c r="J5" s="101" t="str">
        <f t="shared" si="3"/>
        <v/>
      </c>
      <c r="K5" s="101" t="str">
        <f t="shared" si="4"/>
        <v/>
      </c>
      <c r="L5" s="214">
        <v>1</v>
      </c>
      <c r="M5" s="28"/>
      <c r="N5" s="74"/>
      <c r="O5" s="216" t="str">
        <f t="shared" si="5"/>
        <v/>
      </c>
      <c r="P5" s="218" t="str">
        <f t="shared" si="6"/>
        <v/>
      </c>
      <c r="Q5" s="220" t="str">
        <f t="shared" si="7"/>
        <v/>
      </c>
    </row>
    <row r="6" spans="1:17" ht="15" customHeight="1" x14ac:dyDescent="0.25">
      <c r="A6" s="868" t="s">
        <v>647</v>
      </c>
      <c r="B6" s="869"/>
      <c r="C6" s="822"/>
      <c r="D6" s="822"/>
      <c r="E6" s="874"/>
      <c r="F6" s="216" t="str">
        <f t="shared" si="0"/>
        <v/>
      </c>
      <c r="G6" s="218" t="str">
        <f t="shared" si="1"/>
        <v/>
      </c>
      <c r="H6" s="151" t="str">
        <f t="shared" si="8"/>
        <v/>
      </c>
      <c r="I6" s="109" t="str">
        <f t="shared" si="2"/>
        <v/>
      </c>
      <c r="J6" s="101" t="str">
        <f t="shared" si="3"/>
        <v/>
      </c>
      <c r="K6" s="101" t="str">
        <f t="shared" si="4"/>
        <v/>
      </c>
      <c r="L6" s="214">
        <v>1</v>
      </c>
      <c r="M6" s="28"/>
      <c r="N6" s="74"/>
      <c r="O6" s="216" t="str">
        <f t="shared" si="5"/>
        <v/>
      </c>
      <c r="P6" s="218" t="str">
        <f t="shared" si="6"/>
        <v/>
      </c>
      <c r="Q6" s="220" t="str">
        <f t="shared" si="7"/>
        <v/>
      </c>
    </row>
    <row r="7" spans="1:17" ht="15" customHeight="1" x14ac:dyDescent="0.25">
      <c r="A7" s="868" t="s">
        <v>647</v>
      </c>
      <c r="B7" s="869"/>
      <c r="C7" s="822"/>
      <c r="D7" s="822"/>
      <c r="E7" s="874"/>
      <c r="F7" s="216" t="str">
        <f t="shared" si="0"/>
        <v/>
      </c>
      <c r="G7" s="218" t="str">
        <f t="shared" si="1"/>
        <v/>
      </c>
      <c r="H7" s="151" t="str">
        <f t="shared" si="8"/>
        <v/>
      </c>
      <c r="I7" s="109" t="str">
        <f t="shared" si="2"/>
        <v/>
      </c>
      <c r="J7" s="101" t="str">
        <f t="shared" si="3"/>
        <v/>
      </c>
      <c r="K7" s="101" t="str">
        <f t="shared" si="4"/>
        <v/>
      </c>
      <c r="L7" s="214">
        <v>1</v>
      </c>
      <c r="M7" s="28"/>
      <c r="N7" s="74"/>
      <c r="O7" s="216" t="str">
        <f t="shared" si="5"/>
        <v/>
      </c>
      <c r="P7" s="218" t="str">
        <f t="shared" si="6"/>
        <v/>
      </c>
      <c r="Q7" s="220" t="str">
        <f t="shared" si="7"/>
        <v/>
      </c>
    </row>
    <row r="8" spans="1:17" ht="15" customHeight="1" x14ac:dyDescent="0.25">
      <c r="A8" s="868" t="s">
        <v>647</v>
      </c>
      <c r="B8" s="869"/>
      <c r="C8" s="822"/>
      <c r="D8" s="822"/>
      <c r="E8" s="874"/>
      <c r="F8" s="216" t="str">
        <f t="shared" si="0"/>
        <v/>
      </c>
      <c r="G8" s="218" t="str">
        <f t="shared" si="1"/>
        <v/>
      </c>
      <c r="H8" s="151" t="str">
        <f t="shared" si="8"/>
        <v/>
      </c>
      <c r="I8" s="109" t="str">
        <f t="shared" si="2"/>
        <v/>
      </c>
      <c r="J8" s="101" t="str">
        <f t="shared" si="3"/>
        <v/>
      </c>
      <c r="K8" s="101" t="str">
        <f t="shared" si="4"/>
        <v/>
      </c>
      <c r="L8" s="214">
        <v>1</v>
      </c>
      <c r="M8" s="28"/>
      <c r="N8" s="74"/>
      <c r="O8" s="216" t="str">
        <f t="shared" si="5"/>
        <v/>
      </c>
      <c r="P8" s="218" t="str">
        <f t="shared" si="6"/>
        <v/>
      </c>
      <c r="Q8" s="220" t="str">
        <f t="shared" si="7"/>
        <v/>
      </c>
    </row>
    <row r="9" spans="1:17" ht="15" customHeight="1" x14ac:dyDescent="0.25">
      <c r="A9" s="868" t="s">
        <v>647</v>
      </c>
      <c r="B9" s="869"/>
      <c r="C9" s="822"/>
      <c r="D9" s="822"/>
      <c r="E9" s="874"/>
      <c r="F9" s="216" t="str">
        <f t="shared" si="0"/>
        <v/>
      </c>
      <c r="G9" s="218" t="str">
        <f t="shared" si="1"/>
        <v/>
      </c>
      <c r="H9" s="151" t="str">
        <f t="shared" si="8"/>
        <v/>
      </c>
      <c r="I9" s="109" t="str">
        <f t="shared" si="2"/>
        <v/>
      </c>
      <c r="J9" s="101" t="str">
        <f t="shared" si="3"/>
        <v/>
      </c>
      <c r="K9" s="101" t="str">
        <f t="shared" si="4"/>
        <v/>
      </c>
      <c r="L9" s="214">
        <v>1</v>
      </c>
      <c r="M9" s="28"/>
      <c r="N9" s="74"/>
      <c r="O9" s="216" t="str">
        <f t="shared" si="5"/>
        <v/>
      </c>
      <c r="P9" s="218" t="str">
        <f t="shared" si="6"/>
        <v/>
      </c>
      <c r="Q9" s="220" t="str">
        <f t="shared" si="7"/>
        <v/>
      </c>
    </row>
    <row r="10" spans="1:17" ht="15" customHeight="1" x14ac:dyDescent="0.25">
      <c r="A10" s="868" t="s">
        <v>647</v>
      </c>
      <c r="B10" s="869"/>
      <c r="C10" s="822"/>
      <c r="D10" s="822"/>
      <c r="E10" s="874"/>
      <c r="F10" s="216" t="str">
        <f t="shared" si="0"/>
        <v/>
      </c>
      <c r="G10" s="218" t="str">
        <f t="shared" si="1"/>
        <v/>
      </c>
      <c r="H10" s="151" t="str">
        <f t="shared" si="8"/>
        <v/>
      </c>
      <c r="I10" s="109" t="str">
        <f t="shared" si="2"/>
        <v/>
      </c>
      <c r="J10" s="101" t="str">
        <f t="shared" si="3"/>
        <v/>
      </c>
      <c r="K10" s="101" t="str">
        <f t="shared" si="4"/>
        <v/>
      </c>
      <c r="L10" s="214">
        <v>1</v>
      </c>
      <c r="M10" s="28"/>
      <c r="N10" s="74"/>
      <c r="O10" s="216" t="str">
        <f t="shared" si="5"/>
        <v/>
      </c>
      <c r="P10" s="218" t="str">
        <f t="shared" si="6"/>
        <v/>
      </c>
      <c r="Q10" s="220" t="str">
        <f t="shared" si="7"/>
        <v/>
      </c>
    </row>
    <row r="11" spans="1:17" ht="15" customHeight="1" x14ac:dyDescent="0.25">
      <c r="A11" s="868" t="s">
        <v>647</v>
      </c>
      <c r="B11" s="869"/>
      <c r="C11" s="822"/>
      <c r="D11" s="822"/>
      <c r="E11" s="874"/>
      <c r="F11" s="216" t="str">
        <f t="shared" si="0"/>
        <v/>
      </c>
      <c r="G11" s="218" t="str">
        <f t="shared" si="1"/>
        <v/>
      </c>
      <c r="H11" s="151" t="str">
        <f t="shared" si="8"/>
        <v/>
      </c>
      <c r="I11" s="109" t="str">
        <f t="shared" si="2"/>
        <v/>
      </c>
      <c r="J11" s="101" t="str">
        <f t="shared" si="3"/>
        <v/>
      </c>
      <c r="K11" s="101" t="str">
        <f t="shared" si="4"/>
        <v/>
      </c>
      <c r="L11" s="214">
        <v>1</v>
      </c>
      <c r="M11" s="28"/>
      <c r="N11" s="74"/>
      <c r="O11" s="216" t="str">
        <f t="shared" si="5"/>
        <v/>
      </c>
      <c r="P11" s="218" t="str">
        <f t="shared" si="6"/>
        <v/>
      </c>
      <c r="Q11" s="220" t="str">
        <f t="shared" si="7"/>
        <v/>
      </c>
    </row>
    <row r="12" spans="1:17" ht="15" customHeight="1" x14ac:dyDescent="0.25">
      <c r="A12" s="868" t="s">
        <v>647</v>
      </c>
      <c r="B12" s="869"/>
      <c r="C12" s="822"/>
      <c r="D12" s="822"/>
      <c r="E12" s="874"/>
      <c r="F12" s="216" t="str">
        <f t="shared" si="0"/>
        <v/>
      </c>
      <c r="G12" s="218" t="str">
        <f t="shared" si="1"/>
        <v/>
      </c>
      <c r="H12" s="151" t="str">
        <f t="shared" si="8"/>
        <v/>
      </c>
      <c r="I12" s="109" t="str">
        <f t="shared" si="2"/>
        <v/>
      </c>
      <c r="J12" s="101" t="str">
        <f t="shared" si="3"/>
        <v/>
      </c>
      <c r="K12" s="101" t="str">
        <f t="shared" si="4"/>
        <v/>
      </c>
      <c r="L12" s="214">
        <v>1</v>
      </c>
      <c r="M12" s="28"/>
      <c r="N12" s="74"/>
      <c r="O12" s="216" t="str">
        <f t="shared" si="5"/>
        <v/>
      </c>
      <c r="P12" s="218" t="str">
        <f t="shared" si="6"/>
        <v/>
      </c>
      <c r="Q12" s="220" t="str">
        <f t="shared" si="7"/>
        <v/>
      </c>
    </row>
    <row r="13" spans="1:17" ht="15" customHeight="1" x14ac:dyDescent="0.25">
      <c r="A13" s="868" t="s">
        <v>647</v>
      </c>
      <c r="B13" s="869"/>
      <c r="C13" s="822"/>
      <c r="D13" s="822"/>
      <c r="E13" s="874"/>
      <c r="F13" s="216" t="str">
        <f t="shared" si="0"/>
        <v/>
      </c>
      <c r="G13" s="218" t="str">
        <f t="shared" si="1"/>
        <v/>
      </c>
      <c r="H13" s="151" t="str">
        <f t="shared" si="8"/>
        <v/>
      </c>
      <c r="I13" s="109" t="str">
        <f t="shared" si="2"/>
        <v/>
      </c>
      <c r="J13" s="101" t="str">
        <f t="shared" si="3"/>
        <v/>
      </c>
      <c r="K13" s="101" t="str">
        <f t="shared" si="4"/>
        <v/>
      </c>
      <c r="L13" s="214">
        <v>1</v>
      </c>
      <c r="M13" s="28"/>
      <c r="N13" s="74"/>
      <c r="O13" s="216" t="str">
        <f t="shared" si="5"/>
        <v/>
      </c>
      <c r="P13" s="218" t="str">
        <f t="shared" si="6"/>
        <v/>
      </c>
      <c r="Q13" s="220" t="str">
        <f t="shared" si="7"/>
        <v/>
      </c>
    </row>
    <row r="14" spans="1:17" ht="15" customHeight="1" x14ac:dyDescent="0.25">
      <c r="A14" s="868" t="s">
        <v>647</v>
      </c>
      <c r="B14" s="869"/>
      <c r="C14" s="822"/>
      <c r="D14" s="822"/>
      <c r="E14" s="874"/>
      <c r="F14" s="216" t="str">
        <f t="shared" si="0"/>
        <v/>
      </c>
      <c r="G14" s="218" t="str">
        <f t="shared" si="1"/>
        <v/>
      </c>
      <c r="H14" s="151" t="str">
        <f t="shared" si="8"/>
        <v/>
      </c>
      <c r="I14" s="109" t="str">
        <f t="shared" si="2"/>
        <v/>
      </c>
      <c r="J14" s="101" t="str">
        <f t="shared" si="3"/>
        <v/>
      </c>
      <c r="K14" s="101" t="str">
        <f t="shared" si="4"/>
        <v/>
      </c>
      <c r="L14" s="214">
        <v>1</v>
      </c>
      <c r="M14" s="28"/>
      <c r="N14" s="74"/>
      <c r="O14" s="216" t="str">
        <f t="shared" si="5"/>
        <v/>
      </c>
      <c r="P14" s="218" t="str">
        <f t="shared" si="6"/>
        <v/>
      </c>
      <c r="Q14" s="220" t="str">
        <f t="shared" si="7"/>
        <v/>
      </c>
    </row>
    <row r="15" spans="1:17" ht="15" customHeight="1" x14ac:dyDescent="0.25">
      <c r="A15" s="868" t="s">
        <v>647</v>
      </c>
      <c r="B15" s="869"/>
      <c r="C15" s="822"/>
      <c r="D15" s="822"/>
      <c r="E15" s="874"/>
      <c r="F15" s="216" t="str">
        <f t="shared" si="0"/>
        <v/>
      </c>
      <c r="G15" s="218" t="str">
        <f t="shared" si="1"/>
        <v/>
      </c>
      <c r="H15" s="151" t="str">
        <f t="shared" si="8"/>
        <v/>
      </c>
      <c r="I15" s="109" t="str">
        <f t="shared" si="2"/>
        <v/>
      </c>
      <c r="J15" s="101" t="str">
        <f t="shared" si="3"/>
        <v/>
      </c>
      <c r="K15" s="101" t="str">
        <f t="shared" si="4"/>
        <v/>
      </c>
      <c r="L15" s="214">
        <v>1</v>
      </c>
      <c r="M15" s="28"/>
      <c r="N15" s="74"/>
      <c r="O15" s="216" t="str">
        <f t="shared" si="5"/>
        <v/>
      </c>
      <c r="P15" s="218" t="str">
        <f t="shared" si="6"/>
        <v/>
      </c>
      <c r="Q15" s="220" t="str">
        <f t="shared" si="7"/>
        <v/>
      </c>
    </row>
    <row r="16" spans="1:17" ht="15" customHeight="1" thickBot="1" x14ac:dyDescent="0.3">
      <c r="A16" s="870" t="s">
        <v>647</v>
      </c>
      <c r="B16" s="871"/>
      <c r="C16" s="877"/>
      <c r="D16" s="877"/>
      <c r="E16" s="878"/>
      <c r="F16" s="217" t="str">
        <f t="shared" si="0"/>
        <v/>
      </c>
      <c r="G16" s="219" t="str">
        <f t="shared" si="1"/>
        <v/>
      </c>
      <c r="H16" s="152" t="str">
        <f t="shared" si="8"/>
        <v/>
      </c>
      <c r="I16" s="111" t="str">
        <f t="shared" si="2"/>
        <v/>
      </c>
      <c r="J16" s="234" t="str">
        <f t="shared" si="3"/>
        <v/>
      </c>
      <c r="K16" s="234" t="str">
        <f t="shared" si="4"/>
        <v/>
      </c>
      <c r="L16" s="215">
        <v>1</v>
      </c>
      <c r="M16" s="31"/>
      <c r="N16" s="100"/>
      <c r="O16" s="217" t="str">
        <f t="shared" si="5"/>
        <v/>
      </c>
      <c r="P16" s="219" t="str">
        <f t="shared" si="6"/>
        <v/>
      </c>
      <c r="Q16" s="221" t="str">
        <f t="shared" si="7"/>
        <v/>
      </c>
    </row>
    <row r="17" spans="1:17" ht="15" customHeight="1" x14ac:dyDescent="0.25">
      <c r="A17" s="868" t="s">
        <v>647</v>
      </c>
      <c r="B17" s="869"/>
      <c r="C17" s="869"/>
      <c r="D17" s="869"/>
      <c r="E17" s="876"/>
      <c r="F17" s="216" t="str">
        <f t="shared" si="0"/>
        <v/>
      </c>
      <c r="G17" s="218" t="str">
        <f t="shared" si="1"/>
        <v/>
      </c>
      <c r="H17" s="151" t="str">
        <f t="shared" si="8"/>
        <v/>
      </c>
      <c r="I17" s="109" t="str">
        <f t="shared" si="2"/>
        <v/>
      </c>
      <c r="J17" s="109" t="str">
        <f t="shared" si="3"/>
        <v/>
      </c>
      <c r="K17" s="109" t="str">
        <f t="shared" si="4"/>
        <v/>
      </c>
      <c r="L17" s="214">
        <v>1</v>
      </c>
      <c r="M17" s="28"/>
      <c r="N17" s="74"/>
      <c r="O17" s="216" t="str">
        <f t="shared" si="5"/>
        <v/>
      </c>
      <c r="P17" s="218" t="str">
        <f t="shared" si="6"/>
        <v/>
      </c>
      <c r="Q17" s="220" t="str">
        <f t="shared" si="7"/>
        <v/>
      </c>
    </row>
    <row r="18" spans="1:17" ht="15" customHeight="1" x14ac:dyDescent="0.25">
      <c r="A18" s="868" t="s">
        <v>647</v>
      </c>
      <c r="B18" s="869"/>
      <c r="C18" s="822"/>
      <c r="D18" s="822"/>
      <c r="E18" s="874"/>
      <c r="F18" s="216" t="str">
        <f t="shared" si="0"/>
        <v/>
      </c>
      <c r="G18" s="218" t="str">
        <f t="shared" si="1"/>
        <v/>
      </c>
      <c r="H18" s="151" t="str">
        <f t="shared" si="8"/>
        <v/>
      </c>
      <c r="I18" s="109" t="str">
        <f t="shared" si="2"/>
        <v/>
      </c>
      <c r="J18" s="101" t="str">
        <f t="shared" si="3"/>
        <v/>
      </c>
      <c r="K18" s="101" t="str">
        <f t="shared" si="4"/>
        <v/>
      </c>
      <c r="L18" s="214">
        <v>1</v>
      </c>
      <c r="M18" s="28"/>
      <c r="N18" s="74"/>
      <c r="O18" s="216" t="str">
        <f t="shared" si="5"/>
        <v/>
      </c>
      <c r="P18" s="218" t="str">
        <f t="shared" si="6"/>
        <v/>
      </c>
      <c r="Q18" s="220" t="str">
        <f t="shared" si="7"/>
        <v/>
      </c>
    </row>
    <row r="19" spans="1:17" ht="15" customHeight="1" x14ac:dyDescent="0.25">
      <c r="A19" s="868" t="s">
        <v>647</v>
      </c>
      <c r="B19" s="869"/>
      <c r="C19" s="822"/>
      <c r="D19" s="822"/>
      <c r="E19" s="874"/>
      <c r="F19" s="216" t="str">
        <f t="shared" si="0"/>
        <v/>
      </c>
      <c r="G19" s="218" t="str">
        <f t="shared" si="1"/>
        <v/>
      </c>
      <c r="H19" s="151" t="str">
        <f t="shared" si="8"/>
        <v/>
      </c>
      <c r="I19" s="109" t="str">
        <f t="shared" si="2"/>
        <v/>
      </c>
      <c r="J19" s="101" t="str">
        <f t="shared" si="3"/>
        <v/>
      </c>
      <c r="K19" s="101" t="str">
        <f t="shared" si="4"/>
        <v/>
      </c>
      <c r="L19" s="214">
        <v>1</v>
      </c>
      <c r="M19" s="28"/>
      <c r="N19" s="74"/>
      <c r="O19" s="216" t="str">
        <f t="shared" si="5"/>
        <v/>
      </c>
      <c r="P19" s="218" t="str">
        <f t="shared" si="6"/>
        <v/>
      </c>
      <c r="Q19" s="220" t="str">
        <f t="shared" si="7"/>
        <v/>
      </c>
    </row>
    <row r="20" spans="1:17" ht="15" customHeight="1" x14ac:dyDescent="0.25">
      <c r="A20" s="868" t="s">
        <v>647</v>
      </c>
      <c r="B20" s="869"/>
      <c r="C20" s="822"/>
      <c r="D20" s="822"/>
      <c r="E20" s="874"/>
      <c r="F20" s="216" t="str">
        <f t="shared" si="0"/>
        <v/>
      </c>
      <c r="G20" s="218" t="str">
        <f t="shared" si="1"/>
        <v/>
      </c>
      <c r="H20" s="151" t="str">
        <f t="shared" si="8"/>
        <v/>
      </c>
      <c r="I20" s="109" t="str">
        <f t="shared" si="2"/>
        <v/>
      </c>
      <c r="J20" s="101" t="str">
        <f t="shared" si="3"/>
        <v/>
      </c>
      <c r="K20" s="101" t="str">
        <f t="shared" si="4"/>
        <v/>
      </c>
      <c r="L20" s="214">
        <v>1</v>
      </c>
      <c r="M20" s="28"/>
      <c r="N20" s="74"/>
      <c r="O20" s="216" t="str">
        <f t="shared" si="5"/>
        <v/>
      </c>
      <c r="P20" s="218" t="str">
        <f t="shared" si="6"/>
        <v/>
      </c>
      <c r="Q20" s="220" t="str">
        <f t="shared" si="7"/>
        <v/>
      </c>
    </row>
    <row r="21" spans="1:17" ht="15" customHeight="1" x14ac:dyDescent="0.25">
      <c r="A21" s="868" t="s">
        <v>647</v>
      </c>
      <c r="B21" s="869"/>
      <c r="C21" s="822"/>
      <c r="D21" s="822"/>
      <c r="E21" s="874"/>
      <c r="F21" s="216" t="str">
        <f t="shared" si="0"/>
        <v/>
      </c>
      <c r="G21" s="218" t="str">
        <f t="shared" si="1"/>
        <v/>
      </c>
      <c r="H21" s="151" t="str">
        <f t="shared" si="8"/>
        <v/>
      </c>
      <c r="I21" s="109" t="str">
        <f t="shared" si="2"/>
        <v/>
      </c>
      <c r="J21" s="101" t="str">
        <f t="shared" si="3"/>
        <v/>
      </c>
      <c r="K21" s="101" t="str">
        <f t="shared" si="4"/>
        <v/>
      </c>
      <c r="L21" s="214">
        <v>1</v>
      </c>
      <c r="M21" s="28"/>
      <c r="N21" s="74"/>
      <c r="O21" s="216" t="str">
        <f t="shared" si="5"/>
        <v/>
      </c>
      <c r="P21" s="218" t="str">
        <f t="shared" si="6"/>
        <v/>
      </c>
      <c r="Q21" s="220" t="str">
        <f t="shared" si="7"/>
        <v/>
      </c>
    </row>
    <row r="22" spans="1:17" ht="15" customHeight="1" x14ac:dyDescent="0.25">
      <c r="A22" s="868" t="s">
        <v>647</v>
      </c>
      <c r="B22" s="869"/>
      <c r="C22" s="822"/>
      <c r="D22" s="822"/>
      <c r="E22" s="874"/>
      <c r="F22" s="216" t="str">
        <f t="shared" si="0"/>
        <v/>
      </c>
      <c r="G22" s="218" t="str">
        <f t="shared" si="1"/>
        <v/>
      </c>
      <c r="H22" s="151" t="str">
        <f t="shared" si="8"/>
        <v/>
      </c>
      <c r="I22" s="109" t="str">
        <f t="shared" si="2"/>
        <v/>
      </c>
      <c r="J22" s="101" t="str">
        <f t="shared" si="3"/>
        <v/>
      </c>
      <c r="K22" s="101" t="str">
        <f t="shared" si="4"/>
        <v/>
      </c>
      <c r="L22" s="214">
        <v>1</v>
      </c>
      <c r="M22" s="28"/>
      <c r="N22" s="74"/>
      <c r="O22" s="216" t="str">
        <f t="shared" si="5"/>
        <v/>
      </c>
      <c r="P22" s="218" t="str">
        <f t="shared" si="6"/>
        <v/>
      </c>
      <c r="Q22" s="220" t="str">
        <f t="shared" si="7"/>
        <v/>
      </c>
    </row>
    <row r="23" spans="1:17" ht="15" customHeight="1" x14ac:dyDescent="0.25">
      <c r="A23" s="868" t="s">
        <v>647</v>
      </c>
      <c r="B23" s="869"/>
      <c r="C23" s="822"/>
      <c r="D23" s="822"/>
      <c r="E23" s="874"/>
      <c r="F23" s="216" t="str">
        <f t="shared" si="0"/>
        <v/>
      </c>
      <c r="G23" s="218" t="str">
        <f t="shared" si="1"/>
        <v/>
      </c>
      <c r="H23" s="151" t="str">
        <f t="shared" si="8"/>
        <v/>
      </c>
      <c r="I23" s="109" t="str">
        <f t="shared" si="2"/>
        <v/>
      </c>
      <c r="J23" s="101" t="str">
        <f t="shared" si="3"/>
        <v/>
      </c>
      <c r="K23" s="101" t="str">
        <f t="shared" si="4"/>
        <v/>
      </c>
      <c r="L23" s="214">
        <v>1</v>
      </c>
      <c r="M23" s="28"/>
      <c r="N23" s="74"/>
      <c r="O23" s="216" t="str">
        <f t="shared" si="5"/>
        <v/>
      </c>
      <c r="P23" s="218" t="str">
        <f t="shared" si="6"/>
        <v/>
      </c>
      <c r="Q23" s="220" t="str">
        <f t="shared" si="7"/>
        <v/>
      </c>
    </row>
    <row r="24" spans="1:17" ht="15" customHeight="1" x14ac:dyDescent="0.25">
      <c r="A24" s="868" t="s">
        <v>647</v>
      </c>
      <c r="B24" s="869"/>
      <c r="C24" s="822"/>
      <c r="D24" s="822"/>
      <c r="E24" s="874"/>
      <c r="F24" s="216" t="str">
        <f t="shared" si="0"/>
        <v/>
      </c>
      <c r="G24" s="218" t="str">
        <f t="shared" si="1"/>
        <v/>
      </c>
      <c r="H24" s="151" t="str">
        <f t="shared" si="8"/>
        <v/>
      </c>
      <c r="I24" s="109" t="str">
        <f t="shared" si="2"/>
        <v/>
      </c>
      <c r="J24" s="101" t="str">
        <f t="shared" si="3"/>
        <v/>
      </c>
      <c r="K24" s="101" t="str">
        <f t="shared" si="4"/>
        <v/>
      </c>
      <c r="L24" s="214">
        <v>1</v>
      </c>
      <c r="M24" s="28"/>
      <c r="N24" s="74"/>
      <c r="O24" s="216" t="str">
        <f t="shared" si="5"/>
        <v/>
      </c>
      <c r="P24" s="218" t="str">
        <f t="shared" si="6"/>
        <v/>
      </c>
      <c r="Q24" s="220" t="str">
        <f t="shared" si="7"/>
        <v/>
      </c>
    </row>
    <row r="25" spans="1:17" ht="15" customHeight="1" x14ac:dyDescent="0.25">
      <c r="A25" s="868" t="s">
        <v>647</v>
      </c>
      <c r="B25" s="869"/>
      <c r="C25" s="822"/>
      <c r="D25" s="822"/>
      <c r="E25" s="874"/>
      <c r="F25" s="216" t="str">
        <f t="shared" si="0"/>
        <v/>
      </c>
      <c r="G25" s="218" t="str">
        <f t="shared" si="1"/>
        <v/>
      </c>
      <c r="H25" s="151" t="str">
        <f t="shared" si="8"/>
        <v/>
      </c>
      <c r="I25" s="109" t="str">
        <f t="shared" si="2"/>
        <v/>
      </c>
      <c r="J25" s="101" t="str">
        <f t="shared" si="3"/>
        <v/>
      </c>
      <c r="K25" s="101" t="str">
        <f t="shared" si="4"/>
        <v/>
      </c>
      <c r="L25" s="214">
        <v>1</v>
      </c>
      <c r="M25" s="28"/>
      <c r="N25" s="74"/>
      <c r="O25" s="216" t="str">
        <f t="shared" si="5"/>
        <v/>
      </c>
      <c r="P25" s="218" t="str">
        <f t="shared" si="6"/>
        <v/>
      </c>
      <c r="Q25" s="220" t="str">
        <f t="shared" si="7"/>
        <v/>
      </c>
    </row>
    <row r="26" spans="1:17" ht="15" customHeight="1" x14ac:dyDescent="0.25">
      <c r="A26" s="868" t="s">
        <v>647</v>
      </c>
      <c r="B26" s="869"/>
      <c r="C26" s="822"/>
      <c r="D26" s="822"/>
      <c r="E26" s="874"/>
      <c r="F26" s="216" t="str">
        <f t="shared" si="0"/>
        <v/>
      </c>
      <c r="G26" s="218" t="str">
        <f t="shared" si="1"/>
        <v/>
      </c>
      <c r="H26" s="151" t="str">
        <f t="shared" si="8"/>
        <v/>
      </c>
      <c r="I26" s="109" t="str">
        <f t="shared" si="2"/>
        <v/>
      </c>
      <c r="J26" s="101" t="str">
        <f t="shared" si="3"/>
        <v/>
      </c>
      <c r="K26" s="101" t="str">
        <f t="shared" si="4"/>
        <v/>
      </c>
      <c r="L26" s="214">
        <v>1</v>
      </c>
      <c r="M26" s="28"/>
      <c r="N26" s="74"/>
      <c r="O26" s="216" t="str">
        <f t="shared" si="5"/>
        <v/>
      </c>
      <c r="P26" s="218" t="str">
        <f t="shared" si="6"/>
        <v/>
      </c>
      <c r="Q26" s="220" t="str">
        <f t="shared" si="7"/>
        <v/>
      </c>
    </row>
    <row r="27" spans="1:17" ht="15" customHeight="1" x14ac:dyDescent="0.25">
      <c r="A27" s="868" t="s">
        <v>647</v>
      </c>
      <c r="B27" s="869"/>
      <c r="C27" s="822"/>
      <c r="D27" s="822"/>
      <c r="E27" s="874"/>
      <c r="F27" s="216" t="str">
        <f t="shared" si="0"/>
        <v/>
      </c>
      <c r="G27" s="218" t="str">
        <f t="shared" si="1"/>
        <v/>
      </c>
      <c r="H27" s="151" t="str">
        <f t="shared" si="8"/>
        <v/>
      </c>
      <c r="I27" s="109" t="str">
        <f t="shared" si="2"/>
        <v/>
      </c>
      <c r="J27" s="101" t="str">
        <f t="shared" si="3"/>
        <v/>
      </c>
      <c r="K27" s="101" t="str">
        <f t="shared" si="4"/>
        <v/>
      </c>
      <c r="L27" s="214">
        <v>1</v>
      </c>
      <c r="M27" s="28"/>
      <c r="N27" s="74"/>
      <c r="O27" s="216" t="str">
        <f t="shared" si="5"/>
        <v/>
      </c>
      <c r="P27" s="218" t="str">
        <f t="shared" si="6"/>
        <v/>
      </c>
      <c r="Q27" s="220" t="str">
        <f t="shared" si="7"/>
        <v/>
      </c>
    </row>
    <row r="28" spans="1:17" ht="15" customHeight="1" x14ac:dyDescent="0.25">
      <c r="A28" s="868" t="s">
        <v>647</v>
      </c>
      <c r="B28" s="869"/>
      <c r="C28" s="822"/>
      <c r="D28" s="822"/>
      <c r="E28" s="874"/>
      <c r="F28" s="216" t="str">
        <f t="shared" si="0"/>
        <v/>
      </c>
      <c r="G28" s="218" t="str">
        <f t="shared" si="1"/>
        <v/>
      </c>
      <c r="H28" s="151" t="str">
        <f t="shared" si="8"/>
        <v/>
      </c>
      <c r="I28" s="109" t="str">
        <f t="shared" si="2"/>
        <v/>
      </c>
      <c r="J28" s="101" t="str">
        <f t="shared" si="3"/>
        <v/>
      </c>
      <c r="K28" s="101" t="str">
        <f t="shared" si="4"/>
        <v/>
      </c>
      <c r="L28" s="214">
        <v>1</v>
      </c>
      <c r="M28" s="28"/>
      <c r="N28" s="74"/>
      <c r="O28" s="216" t="str">
        <f t="shared" si="5"/>
        <v/>
      </c>
      <c r="P28" s="218" t="str">
        <f t="shared" si="6"/>
        <v/>
      </c>
      <c r="Q28" s="220" t="str">
        <f t="shared" si="7"/>
        <v/>
      </c>
    </row>
    <row r="29" spans="1:17" ht="15" customHeight="1" x14ac:dyDescent="0.25">
      <c r="A29" s="868" t="s">
        <v>647</v>
      </c>
      <c r="B29" s="869"/>
      <c r="C29" s="822"/>
      <c r="D29" s="822"/>
      <c r="E29" s="874"/>
      <c r="F29" s="216" t="str">
        <f t="shared" si="0"/>
        <v/>
      </c>
      <c r="G29" s="218" t="str">
        <f t="shared" si="1"/>
        <v/>
      </c>
      <c r="H29" s="151" t="str">
        <f t="shared" si="8"/>
        <v/>
      </c>
      <c r="I29" s="109" t="str">
        <f t="shared" si="2"/>
        <v/>
      </c>
      <c r="J29" s="101" t="str">
        <f t="shared" si="3"/>
        <v/>
      </c>
      <c r="K29" s="101" t="str">
        <f t="shared" si="4"/>
        <v/>
      </c>
      <c r="L29" s="214">
        <v>1</v>
      </c>
      <c r="M29" s="28"/>
      <c r="N29" s="74"/>
      <c r="O29" s="216" t="str">
        <f t="shared" si="5"/>
        <v/>
      </c>
      <c r="P29" s="218" t="str">
        <f t="shared" si="6"/>
        <v/>
      </c>
      <c r="Q29" s="220" t="str">
        <f t="shared" si="7"/>
        <v/>
      </c>
    </row>
    <row r="30" spans="1:17" ht="15" customHeight="1" x14ac:dyDescent="0.25">
      <c r="A30" s="868" t="s">
        <v>647</v>
      </c>
      <c r="B30" s="869"/>
      <c r="C30" s="822"/>
      <c r="D30" s="822"/>
      <c r="E30" s="874"/>
      <c r="F30" s="216" t="str">
        <f t="shared" si="0"/>
        <v/>
      </c>
      <c r="G30" s="218" t="str">
        <f t="shared" si="1"/>
        <v/>
      </c>
      <c r="H30" s="151" t="str">
        <f t="shared" si="8"/>
        <v/>
      </c>
      <c r="I30" s="109" t="str">
        <f t="shared" si="2"/>
        <v/>
      </c>
      <c r="J30" s="101" t="str">
        <f t="shared" si="3"/>
        <v/>
      </c>
      <c r="K30" s="101" t="str">
        <f t="shared" si="4"/>
        <v/>
      </c>
      <c r="L30" s="214">
        <v>1</v>
      </c>
      <c r="M30" s="28"/>
      <c r="N30" s="74"/>
      <c r="O30" s="216" t="str">
        <f t="shared" si="5"/>
        <v/>
      </c>
      <c r="P30" s="218" t="str">
        <f t="shared" si="6"/>
        <v/>
      </c>
      <c r="Q30" s="220" t="str">
        <f t="shared" si="7"/>
        <v/>
      </c>
    </row>
    <row r="31" spans="1:17" ht="15" customHeight="1" thickBot="1" x14ac:dyDescent="0.3">
      <c r="A31" s="870" t="s">
        <v>647</v>
      </c>
      <c r="B31" s="871"/>
      <c r="C31" s="877"/>
      <c r="D31" s="877"/>
      <c r="E31" s="878"/>
      <c r="F31" s="217" t="str">
        <f t="shared" si="0"/>
        <v/>
      </c>
      <c r="G31" s="219" t="str">
        <f t="shared" si="1"/>
        <v/>
      </c>
      <c r="H31" s="152" t="str">
        <f t="shared" si="8"/>
        <v/>
      </c>
      <c r="I31" s="111" t="str">
        <f t="shared" si="2"/>
        <v/>
      </c>
      <c r="J31" s="234" t="str">
        <f t="shared" si="3"/>
        <v/>
      </c>
      <c r="K31" s="234" t="str">
        <f t="shared" si="4"/>
        <v/>
      </c>
      <c r="L31" s="215">
        <v>1</v>
      </c>
      <c r="M31" s="31"/>
      <c r="N31" s="100"/>
      <c r="O31" s="217" t="str">
        <f t="shared" si="5"/>
        <v/>
      </c>
      <c r="P31" s="219" t="str">
        <f t="shared" si="6"/>
        <v/>
      </c>
      <c r="Q31" s="221" t="str">
        <f t="shared" si="7"/>
        <v/>
      </c>
    </row>
    <row r="32" spans="1:17" ht="15" customHeight="1" x14ac:dyDescent="0.25">
      <c r="A32" s="868" t="s">
        <v>647</v>
      </c>
      <c r="B32" s="869"/>
      <c r="C32" s="869"/>
      <c r="D32" s="869"/>
      <c r="E32" s="876"/>
      <c r="F32" s="216" t="str">
        <f t="shared" si="0"/>
        <v/>
      </c>
      <c r="G32" s="218" t="str">
        <f t="shared" si="1"/>
        <v/>
      </c>
      <c r="H32" s="151" t="str">
        <f t="shared" si="8"/>
        <v/>
      </c>
      <c r="I32" s="109" t="str">
        <f t="shared" si="2"/>
        <v/>
      </c>
      <c r="J32" s="109" t="str">
        <f t="shared" si="3"/>
        <v/>
      </c>
      <c r="K32" s="109" t="str">
        <f t="shared" si="4"/>
        <v/>
      </c>
      <c r="L32" s="214">
        <v>1</v>
      </c>
      <c r="M32" s="28"/>
      <c r="N32" s="74"/>
      <c r="O32" s="216" t="str">
        <f t="shared" si="5"/>
        <v/>
      </c>
      <c r="P32" s="218" t="str">
        <f t="shared" si="6"/>
        <v/>
      </c>
      <c r="Q32" s="220" t="str">
        <f t="shared" si="7"/>
        <v/>
      </c>
    </row>
    <row r="33" spans="1:17" ht="15" customHeight="1" x14ac:dyDescent="0.25">
      <c r="A33" s="868" t="s">
        <v>647</v>
      </c>
      <c r="B33" s="869"/>
      <c r="C33" s="822"/>
      <c r="D33" s="822"/>
      <c r="E33" s="874"/>
      <c r="F33" s="216" t="str">
        <f t="shared" si="0"/>
        <v/>
      </c>
      <c r="G33" s="218" t="str">
        <f t="shared" si="1"/>
        <v/>
      </c>
      <c r="H33" s="151" t="str">
        <f t="shared" si="8"/>
        <v/>
      </c>
      <c r="I33" s="109" t="str">
        <f t="shared" si="2"/>
        <v/>
      </c>
      <c r="J33" s="101" t="str">
        <f t="shared" si="3"/>
        <v/>
      </c>
      <c r="K33" s="101" t="str">
        <f t="shared" si="4"/>
        <v/>
      </c>
      <c r="L33" s="214">
        <v>1</v>
      </c>
      <c r="M33" s="28"/>
      <c r="N33" s="74"/>
      <c r="O33" s="216" t="str">
        <f t="shared" si="5"/>
        <v/>
      </c>
      <c r="P33" s="218" t="str">
        <f t="shared" si="6"/>
        <v/>
      </c>
      <c r="Q33" s="220" t="str">
        <f t="shared" si="7"/>
        <v/>
      </c>
    </row>
    <row r="34" spans="1:17" ht="15" customHeight="1" x14ac:dyDescent="0.25">
      <c r="A34" s="868" t="s">
        <v>647</v>
      </c>
      <c r="B34" s="869"/>
      <c r="C34" s="822"/>
      <c r="D34" s="822"/>
      <c r="E34" s="874"/>
      <c r="F34" s="216" t="str">
        <f t="shared" si="0"/>
        <v/>
      </c>
      <c r="G34" s="218" t="str">
        <f t="shared" si="1"/>
        <v/>
      </c>
      <c r="H34" s="151" t="str">
        <f t="shared" si="8"/>
        <v/>
      </c>
      <c r="I34" s="109" t="str">
        <f t="shared" si="2"/>
        <v/>
      </c>
      <c r="J34" s="101" t="str">
        <f t="shared" si="3"/>
        <v/>
      </c>
      <c r="K34" s="101" t="str">
        <f t="shared" si="4"/>
        <v/>
      </c>
      <c r="L34" s="214">
        <v>1</v>
      </c>
      <c r="M34" s="28"/>
      <c r="N34" s="74"/>
      <c r="O34" s="216" t="str">
        <f t="shared" si="5"/>
        <v/>
      </c>
      <c r="P34" s="218" t="str">
        <f t="shared" si="6"/>
        <v/>
      </c>
      <c r="Q34" s="220" t="str">
        <f t="shared" si="7"/>
        <v/>
      </c>
    </row>
    <row r="35" spans="1:17" ht="15" customHeight="1" x14ac:dyDescent="0.25">
      <c r="A35" s="868" t="s">
        <v>647</v>
      </c>
      <c r="B35" s="869"/>
      <c r="C35" s="822"/>
      <c r="D35" s="822"/>
      <c r="E35" s="874"/>
      <c r="F35" s="216" t="str">
        <f t="shared" si="0"/>
        <v/>
      </c>
      <c r="G35" s="218" t="str">
        <f t="shared" si="1"/>
        <v/>
      </c>
      <c r="H35" s="151" t="str">
        <f t="shared" si="8"/>
        <v/>
      </c>
      <c r="I35" s="109" t="str">
        <f t="shared" si="2"/>
        <v/>
      </c>
      <c r="J35" s="101" t="str">
        <f t="shared" si="3"/>
        <v/>
      </c>
      <c r="K35" s="101" t="str">
        <f t="shared" si="4"/>
        <v/>
      </c>
      <c r="L35" s="214">
        <v>1</v>
      </c>
      <c r="M35" s="28"/>
      <c r="N35" s="74"/>
      <c r="O35" s="216" t="str">
        <f t="shared" si="5"/>
        <v/>
      </c>
      <c r="P35" s="218" t="str">
        <f t="shared" si="6"/>
        <v/>
      </c>
      <c r="Q35" s="220" t="str">
        <f t="shared" si="7"/>
        <v/>
      </c>
    </row>
    <row r="36" spans="1:17" ht="15" customHeight="1" x14ac:dyDescent="0.25">
      <c r="A36" s="868" t="s">
        <v>647</v>
      </c>
      <c r="B36" s="869"/>
      <c r="C36" s="822"/>
      <c r="D36" s="822"/>
      <c r="E36" s="874"/>
      <c r="F36" s="216" t="str">
        <f t="shared" si="0"/>
        <v/>
      </c>
      <c r="G36" s="218" t="str">
        <f t="shared" si="1"/>
        <v/>
      </c>
      <c r="H36" s="151" t="str">
        <f t="shared" si="8"/>
        <v/>
      </c>
      <c r="I36" s="109" t="str">
        <f t="shared" si="2"/>
        <v/>
      </c>
      <c r="J36" s="101" t="str">
        <f t="shared" si="3"/>
        <v/>
      </c>
      <c r="K36" s="101" t="str">
        <f t="shared" si="4"/>
        <v/>
      </c>
      <c r="L36" s="214">
        <v>1</v>
      </c>
      <c r="M36" s="28"/>
      <c r="N36" s="74"/>
      <c r="O36" s="216" t="str">
        <f t="shared" si="5"/>
        <v/>
      </c>
      <c r="P36" s="218" t="str">
        <f t="shared" si="6"/>
        <v/>
      </c>
      <c r="Q36" s="220" t="str">
        <f t="shared" si="7"/>
        <v/>
      </c>
    </row>
    <row r="37" spans="1:17" ht="15" customHeight="1" x14ac:dyDescent="0.25">
      <c r="A37" s="868" t="s">
        <v>647</v>
      </c>
      <c r="B37" s="869"/>
      <c r="C37" s="822"/>
      <c r="D37" s="822"/>
      <c r="E37" s="874"/>
      <c r="F37" s="216" t="str">
        <f t="shared" si="0"/>
        <v/>
      </c>
      <c r="G37" s="218" t="str">
        <f t="shared" si="1"/>
        <v/>
      </c>
      <c r="H37" s="151" t="str">
        <f t="shared" si="8"/>
        <v/>
      </c>
      <c r="I37" s="109" t="str">
        <f t="shared" si="2"/>
        <v/>
      </c>
      <c r="J37" s="101" t="str">
        <f t="shared" si="3"/>
        <v/>
      </c>
      <c r="K37" s="101" t="str">
        <f t="shared" si="4"/>
        <v/>
      </c>
      <c r="L37" s="214">
        <v>1</v>
      </c>
      <c r="M37" s="28"/>
      <c r="N37" s="74"/>
      <c r="O37" s="216" t="str">
        <f t="shared" si="5"/>
        <v/>
      </c>
      <c r="P37" s="218" t="str">
        <f t="shared" si="6"/>
        <v/>
      </c>
      <c r="Q37" s="220" t="str">
        <f t="shared" si="7"/>
        <v/>
      </c>
    </row>
    <row r="38" spans="1:17" ht="15" customHeight="1" x14ac:dyDescent="0.25">
      <c r="A38" s="868" t="s">
        <v>647</v>
      </c>
      <c r="B38" s="869"/>
      <c r="C38" s="822"/>
      <c r="D38" s="822"/>
      <c r="E38" s="874"/>
      <c r="F38" s="216" t="str">
        <f t="shared" si="0"/>
        <v/>
      </c>
      <c r="G38" s="218" t="str">
        <f t="shared" si="1"/>
        <v/>
      </c>
      <c r="H38" s="151" t="str">
        <f t="shared" si="8"/>
        <v/>
      </c>
      <c r="I38" s="109" t="str">
        <f t="shared" si="2"/>
        <v/>
      </c>
      <c r="J38" s="101" t="str">
        <f t="shared" si="3"/>
        <v/>
      </c>
      <c r="K38" s="101" t="str">
        <f t="shared" si="4"/>
        <v/>
      </c>
      <c r="L38" s="214">
        <v>1</v>
      </c>
      <c r="M38" s="28"/>
      <c r="N38" s="74"/>
      <c r="O38" s="216" t="str">
        <f t="shared" si="5"/>
        <v/>
      </c>
      <c r="P38" s="218" t="str">
        <f t="shared" si="6"/>
        <v/>
      </c>
      <c r="Q38" s="220" t="str">
        <f t="shared" si="7"/>
        <v/>
      </c>
    </row>
    <row r="39" spans="1:17" ht="15" customHeight="1" x14ac:dyDescent="0.25">
      <c r="A39" s="868" t="s">
        <v>647</v>
      </c>
      <c r="B39" s="869"/>
      <c r="C39" s="822"/>
      <c r="D39" s="822"/>
      <c r="E39" s="874"/>
      <c r="F39" s="216" t="str">
        <f t="shared" si="0"/>
        <v/>
      </c>
      <c r="G39" s="218" t="str">
        <f t="shared" si="1"/>
        <v/>
      </c>
      <c r="H39" s="151" t="str">
        <f t="shared" si="8"/>
        <v/>
      </c>
      <c r="I39" s="109" t="str">
        <f t="shared" si="2"/>
        <v/>
      </c>
      <c r="J39" s="101" t="str">
        <f t="shared" si="3"/>
        <v/>
      </c>
      <c r="K39" s="101" t="str">
        <f t="shared" si="4"/>
        <v/>
      </c>
      <c r="L39" s="214">
        <v>1</v>
      </c>
      <c r="M39" s="28"/>
      <c r="N39" s="74"/>
      <c r="O39" s="216" t="str">
        <f t="shared" si="5"/>
        <v/>
      </c>
      <c r="P39" s="218" t="str">
        <f t="shared" si="6"/>
        <v/>
      </c>
      <c r="Q39" s="220" t="str">
        <f t="shared" si="7"/>
        <v/>
      </c>
    </row>
    <row r="40" spans="1:17" ht="15" customHeight="1" x14ac:dyDescent="0.25">
      <c r="A40" s="868" t="s">
        <v>647</v>
      </c>
      <c r="B40" s="869"/>
      <c r="C40" s="822"/>
      <c r="D40" s="822"/>
      <c r="E40" s="874"/>
      <c r="F40" s="216" t="str">
        <f t="shared" si="0"/>
        <v/>
      </c>
      <c r="G40" s="218" t="str">
        <f t="shared" si="1"/>
        <v/>
      </c>
      <c r="H40" s="151" t="str">
        <f t="shared" si="8"/>
        <v/>
      </c>
      <c r="I40" s="109" t="str">
        <f t="shared" si="2"/>
        <v/>
      </c>
      <c r="J40" s="101" t="str">
        <f t="shared" si="3"/>
        <v/>
      </c>
      <c r="K40" s="101" t="str">
        <f t="shared" si="4"/>
        <v/>
      </c>
      <c r="L40" s="214">
        <v>1</v>
      </c>
      <c r="M40" s="28"/>
      <c r="N40" s="74"/>
      <c r="O40" s="216" t="str">
        <f t="shared" si="5"/>
        <v/>
      </c>
      <c r="P40" s="218" t="str">
        <f t="shared" si="6"/>
        <v/>
      </c>
      <c r="Q40" s="220" t="str">
        <f t="shared" si="7"/>
        <v/>
      </c>
    </row>
    <row r="41" spans="1:17" ht="15" customHeight="1" x14ac:dyDescent="0.25">
      <c r="A41" s="868" t="s">
        <v>647</v>
      </c>
      <c r="B41" s="869"/>
      <c r="C41" s="822"/>
      <c r="D41" s="822"/>
      <c r="E41" s="874"/>
      <c r="F41" s="216" t="str">
        <f t="shared" si="0"/>
        <v/>
      </c>
      <c r="G41" s="218" t="str">
        <f t="shared" si="1"/>
        <v/>
      </c>
      <c r="H41" s="151" t="str">
        <f t="shared" si="8"/>
        <v/>
      </c>
      <c r="I41" s="109" t="str">
        <f t="shared" si="2"/>
        <v/>
      </c>
      <c r="J41" s="101" t="str">
        <f t="shared" si="3"/>
        <v/>
      </c>
      <c r="K41" s="101" t="str">
        <f t="shared" si="4"/>
        <v/>
      </c>
      <c r="L41" s="214">
        <v>1</v>
      </c>
      <c r="M41" s="28"/>
      <c r="N41" s="74"/>
      <c r="O41" s="216" t="str">
        <f t="shared" si="5"/>
        <v/>
      </c>
      <c r="P41" s="218" t="str">
        <f t="shared" si="6"/>
        <v/>
      </c>
      <c r="Q41" s="220" t="str">
        <f t="shared" si="7"/>
        <v/>
      </c>
    </row>
    <row r="42" spans="1:17" ht="15" customHeight="1" x14ac:dyDescent="0.25">
      <c r="A42" s="868" t="s">
        <v>647</v>
      </c>
      <c r="B42" s="869"/>
      <c r="C42" s="822"/>
      <c r="D42" s="822"/>
      <c r="E42" s="874"/>
      <c r="F42" s="216" t="str">
        <f t="shared" si="0"/>
        <v/>
      </c>
      <c r="G42" s="218" t="str">
        <f t="shared" si="1"/>
        <v/>
      </c>
      <c r="H42" s="151" t="str">
        <f t="shared" si="8"/>
        <v/>
      </c>
      <c r="I42" s="109" t="str">
        <f t="shared" si="2"/>
        <v/>
      </c>
      <c r="J42" s="101" t="str">
        <f t="shared" si="3"/>
        <v/>
      </c>
      <c r="K42" s="101" t="str">
        <f t="shared" si="4"/>
        <v/>
      </c>
      <c r="L42" s="214">
        <v>1</v>
      </c>
      <c r="M42" s="28"/>
      <c r="N42" s="74"/>
      <c r="O42" s="216" t="str">
        <f t="shared" si="5"/>
        <v/>
      </c>
      <c r="P42" s="218" t="str">
        <f t="shared" si="6"/>
        <v/>
      </c>
      <c r="Q42" s="220" t="str">
        <f t="shared" si="7"/>
        <v/>
      </c>
    </row>
    <row r="43" spans="1:17" ht="15" customHeight="1" x14ac:dyDescent="0.25">
      <c r="A43" s="868" t="s">
        <v>647</v>
      </c>
      <c r="B43" s="869"/>
      <c r="C43" s="822"/>
      <c r="D43" s="822"/>
      <c r="E43" s="874"/>
      <c r="F43" s="216" t="str">
        <f t="shared" si="0"/>
        <v/>
      </c>
      <c r="G43" s="218" t="str">
        <f t="shared" si="1"/>
        <v/>
      </c>
      <c r="H43" s="151" t="str">
        <f t="shared" si="8"/>
        <v/>
      </c>
      <c r="I43" s="109" t="str">
        <f t="shared" si="2"/>
        <v/>
      </c>
      <c r="J43" s="101" t="str">
        <f t="shared" si="3"/>
        <v/>
      </c>
      <c r="K43" s="101" t="str">
        <f t="shared" si="4"/>
        <v/>
      </c>
      <c r="L43" s="214">
        <v>1</v>
      </c>
      <c r="M43" s="28"/>
      <c r="N43" s="74"/>
      <c r="O43" s="216" t="str">
        <f t="shared" si="5"/>
        <v/>
      </c>
      <c r="P43" s="218" t="str">
        <f t="shared" si="6"/>
        <v/>
      </c>
      <c r="Q43" s="220" t="str">
        <f t="shared" si="7"/>
        <v/>
      </c>
    </row>
    <row r="44" spans="1:17" ht="15" customHeight="1" x14ac:dyDescent="0.25">
      <c r="A44" s="868" t="s">
        <v>647</v>
      </c>
      <c r="B44" s="869"/>
      <c r="C44" s="822"/>
      <c r="D44" s="822"/>
      <c r="E44" s="874"/>
      <c r="F44" s="216" t="str">
        <f t="shared" si="0"/>
        <v/>
      </c>
      <c r="G44" s="218" t="str">
        <f t="shared" si="1"/>
        <v/>
      </c>
      <c r="H44" s="151" t="str">
        <f t="shared" si="8"/>
        <v/>
      </c>
      <c r="I44" s="109" t="str">
        <f t="shared" si="2"/>
        <v/>
      </c>
      <c r="J44" s="101" t="str">
        <f t="shared" si="3"/>
        <v/>
      </c>
      <c r="K44" s="101" t="str">
        <f t="shared" si="4"/>
        <v/>
      </c>
      <c r="L44" s="214">
        <v>1</v>
      </c>
      <c r="M44" s="28"/>
      <c r="N44" s="74"/>
      <c r="O44" s="216" t="str">
        <f t="shared" si="5"/>
        <v/>
      </c>
      <c r="P44" s="218" t="str">
        <f t="shared" si="6"/>
        <v/>
      </c>
      <c r="Q44" s="220" t="str">
        <f t="shared" si="7"/>
        <v/>
      </c>
    </row>
    <row r="45" spans="1:17" ht="15" customHeight="1" x14ac:dyDescent="0.25">
      <c r="A45" s="868" t="s">
        <v>647</v>
      </c>
      <c r="B45" s="869"/>
      <c r="C45" s="822"/>
      <c r="D45" s="822"/>
      <c r="E45" s="874"/>
      <c r="F45" s="216" t="str">
        <f t="shared" si="0"/>
        <v/>
      </c>
      <c r="G45" s="218" t="str">
        <f t="shared" si="1"/>
        <v/>
      </c>
      <c r="H45" s="151" t="str">
        <f t="shared" si="8"/>
        <v/>
      </c>
      <c r="I45" s="109" t="str">
        <f t="shared" si="2"/>
        <v/>
      </c>
      <c r="J45" s="101" t="str">
        <f t="shared" si="3"/>
        <v/>
      </c>
      <c r="K45" s="101" t="str">
        <f t="shared" si="4"/>
        <v/>
      </c>
      <c r="L45" s="214">
        <v>1</v>
      </c>
      <c r="M45" s="28"/>
      <c r="N45" s="74"/>
      <c r="O45" s="216" t="str">
        <f t="shared" si="5"/>
        <v/>
      </c>
      <c r="P45" s="218" t="str">
        <f t="shared" si="6"/>
        <v/>
      </c>
      <c r="Q45" s="220" t="str">
        <f t="shared" si="7"/>
        <v/>
      </c>
    </row>
    <row r="46" spans="1:17" ht="15" customHeight="1" thickBot="1" x14ac:dyDescent="0.3">
      <c r="A46" s="870" t="s">
        <v>647</v>
      </c>
      <c r="B46" s="871"/>
      <c r="C46" s="877"/>
      <c r="D46" s="877"/>
      <c r="E46" s="878"/>
      <c r="F46" s="217" t="str">
        <f t="shared" si="0"/>
        <v/>
      </c>
      <c r="G46" s="219" t="str">
        <f t="shared" si="1"/>
        <v/>
      </c>
      <c r="H46" s="152" t="str">
        <f t="shared" si="8"/>
        <v/>
      </c>
      <c r="I46" s="111" t="str">
        <f t="shared" si="2"/>
        <v/>
      </c>
      <c r="J46" s="234" t="str">
        <f t="shared" si="3"/>
        <v/>
      </c>
      <c r="K46" s="234" t="str">
        <f t="shared" si="4"/>
        <v/>
      </c>
      <c r="L46" s="215">
        <v>1</v>
      </c>
      <c r="M46" s="31"/>
      <c r="N46" s="100"/>
      <c r="O46" s="217" t="str">
        <f t="shared" si="5"/>
        <v/>
      </c>
      <c r="P46" s="219" t="str">
        <f t="shared" si="6"/>
        <v/>
      </c>
      <c r="Q46" s="221" t="str">
        <f t="shared" si="7"/>
        <v/>
      </c>
    </row>
  </sheetData>
  <sheetProtection algorithmName="SHA-512" hashValue="dK+MeCCP/MBd2DaQEZpArn0itld49swLSY4luhYBcLUCViTrgvYzZ8KTZ9CWTH4zTu1F35dg7ZBktFvxkI3muQ==" saltValue="4QKHeHgSMX02sbMdlAe2lQ==" spinCount="100000" sheet="1" objects="1" selectLockedCells="1"/>
  <mergeCells count="92">
    <mergeCell ref="C31:E31"/>
    <mergeCell ref="C32:E32"/>
    <mergeCell ref="C46:E46"/>
    <mergeCell ref="C37:E37"/>
    <mergeCell ref="C38:E38"/>
    <mergeCell ref="C39:E39"/>
    <mergeCell ref="C40:E40"/>
    <mergeCell ref="C41:E41"/>
    <mergeCell ref="C42:E42"/>
    <mergeCell ref="C43:E43"/>
    <mergeCell ref="C44:E44"/>
    <mergeCell ref="C45:E45"/>
    <mergeCell ref="C33:E33"/>
    <mergeCell ref="C34:E34"/>
    <mergeCell ref="C35:E35"/>
    <mergeCell ref="C36:E36"/>
    <mergeCell ref="C29:E29"/>
    <mergeCell ref="C30:E30"/>
    <mergeCell ref="C15:E15"/>
    <mergeCell ref="C16:E16"/>
    <mergeCell ref="C17:E17"/>
    <mergeCell ref="C18:E18"/>
    <mergeCell ref="C24:E24"/>
    <mergeCell ref="C25:E25"/>
    <mergeCell ref="C26:E26"/>
    <mergeCell ref="C27:E27"/>
    <mergeCell ref="C28:E28"/>
    <mergeCell ref="C19:E19"/>
    <mergeCell ref="C20:E20"/>
    <mergeCell ref="C21:E21"/>
    <mergeCell ref="C22:E22"/>
    <mergeCell ref="C23:E23"/>
    <mergeCell ref="C11:E11"/>
    <mergeCell ref="C12:E12"/>
    <mergeCell ref="C13:E13"/>
    <mergeCell ref="C14:E14"/>
    <mergeCell ref="C1:E1"/>
    <mergeCell ref="C3:E3"/>
    <mergeCell ref="C4:E4"/>
    <mergeCell ref="C5:E5"/>
    <mergeCell ref="C6:E6"/>
    <mergeCell ref="C2:E2"/>
    <mergeCell ref="C7:E7"/>
    <mergeCell ref="C8:E8"/>
    <mergeCell ref="C9:E9"/>
    <mergeCell ref="C10:E10"/>
    <mergeCell ref="A1:B1"/>
    <mergeCell ref="A12:B12"/>
    <mergeCell ref="A2:B2"/>
    <mergeCell ref="A3:B3"/>
    <mergeCell ref="A4:B4"/>
    <mergeCell ref="A5:B5"/>
    <mergeCell ref="A6:B6"/>
    <mergeCell ref="A7:B7"/>
    <mergeCell ref="A8:B8"/>
    <mergeCell ref="A9:B9"/>
    <mergeCell ref="A10:B10"/>
    <mergeCell ref="A11:B11"/>
    <mergeCell ref="A24:B24"/>
    <mergeCell ref="A13:B13"/>
    <mergeCell ref="A14:B14"/>
    <mergeCell ref="A15:B15"/>
    <mergeCell ref="A16:B16"/>
    <mergeCell ref="A17:B17"/>
    <mergeCell ref="A18:B18"/>
    <mergeCell ref="A19:B19"/>
    <mergeCell ref="A20:B20"/>
    <mergeCell ref="A21:B21"/>
    <mergeCell ref="A22:B22"/>
    <mergeCell ref="A23:B23"/>
    <mergeCell ref="A36:B36"/>
    <mergeCell ref="A25:B25"/>
    <mergeCell ref="A26:B26"/>
    <mergeCell ref="A27:B27"/>
    <mergeCell ref="A28:B28"/>
    <mergeCell ref="A29:B29"/>
    <mergeCell ref="A30:B30"/>
    <mergeCell ref="A31:B31"/>
    <mergeCell ref="A32:B32"/>
    <mergeCell ref="A33:B33"/>
    <mergeCell ref="A34:B34"/>
    <mergeCell ref="A35:B35"/>
    <mergeCell ref="A43:B43"/>
    <mergeCell ref="A44:B44"/>
    <mergeCell ref="A45:B45"/>
    <mergeCell ref="A46:B46"/>
    <mergeCell ref="A37:B37"/>
    <mergeCell ref="A38:B38"/>
    <mergeCell ref="A39:B39"/>
    <mergeCell ref="A40:B40"/>
    <mergeCell ref="A41:B41"/>
    <mergeCell ref="A42:B42"/>
  </mergeCells>
  <dataValidations count="3">
    <dataValidation type="list" allowBlank="1" showInputMessage="1" showErrorMessage="1" sqref="A2:B46" xr:uid="{DB0DE25A-C877-469F-8384-691EAC778721}">
      <formula1>skill_list</formula1>
    </dataValidation>
    <dataValidation type="list" allowBlank="1" showInputMessage="1" showErrorMessage="1" sqref="C2:E46" xr:uid="{D50CC476-0F1A-44B5-B87D-916F08E927B2}">
      <formula1>INDIRECT(A2)</formula1>
    </dataValidation>
    <dataValidation type="list" allowBlank="1" showInputMessage="1" showErrorMessage="1" sqref="L2:L46" xr:uid="{25B9F90A-CD7F-4F11-A9EE-A2CADA472BAC}">
      <formula1>level</formula1>
    </dataValidation>
  </dataValidations>
  <pageMargins left="0.7" right="0.7" top="0.75" bottom="0.75" header="0.3" footer="0.3"/>
  <pageSetup orientation="portrait" horizontalDpi="4294967293"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542708"/>
  </sheetPr>
  <dimension ref="A1:Q129"/>
  <sheetViews>
    <sheetView showGridLines="0" zoomScaleNormal="100" workbookViewId="0">
      <pane ySplit="5" topLeftCell="A6" activePane="bottomLeft" state="frozen"/>
      <selection pane="bottomLeft" activeCell="D4" sqref="D4"/>
    </sheetView>
  </sheetViews>
  <sheetFormatPr defaultRowHeight="15" x14ac:dyDescent="0.25"/>
  <cols>
    <col min="1" max="4" width="6" customWidth="1"/>
    <col min="5" max="5" width="5.28515625" customWidth="1"/>
    <col min="6" max="6" width="0.7109375" customWidth="1"/>
    <col min="7" max="10" width="6" customWidth="1"/>
    <col min="11" max="11" width="5.28515625" customWidth="1"/>
    <col min="12" max="12" width="0.7109375" customWidth="1"/>
    <col min="13" max="18" width="6" customWidth="1"/>
  </cols>
  <sheetData>
    <row r="1" spans="1:17" ht="18.75" customHeight="1" thickBot="1" x14ac:dyDescent="0.35">
      <c r="A1" s="880" t="s">
        <v>1</v>
      </c>
      <c r="B1" s="881"/>
      <c r="C1" s="881"/>
      <c r="D1" s="881"/>
      <c r="E1" s="881"/>
      <c r="F1" s="881"/>
      <c r="G1" s="881"/>
      <c r="H1" s="881"/>
      <c r="I1" s="881"/>
      <c r="J1" s="881"/>
      <c r="K1" s="881"/>
      <c r="L1" s="881"/>
      <c r="M1" s="881"/>
      <c r="N1" s="881"/>
      <c r="O1" s="881"/>
      <c r="P1" s="881"/>
      <c r="Q1" s="882"/>
    </row>
    <row r="2" spans="1:17" ht="3.75" customHeight="1" thickBot="1" x14ac:dyDescent="0.4">
      <c r="A2" s="43"/>
      <c r="B2" s="43"/>
      <c r="C2" s="43"/>
      <c r="D2" s="43"/>
      <c r="E2" s="43"/>
      <c r="F2" s="43"/>
      <c r="G2" s="43"/>
      <c r="H2" s="43"/>
      <c r="I2" s="43"/>
      <c r="J2" s="43"/>
      <c r="K2" s="43"/>
      <c r="L2" s="43"/>
      <c r="M2" s="43"/>
      <c r="N2" s="43"/>
      <c r="O2" s="43"/>
      <c r="P2" s="43"/>
      <c r="Q2" s="43"/>
    </row>
    <row r="3" spans="1:17" ht="15.75" thickBot="1" x14ac:dyDescent="0.3">
      <c r="A3" s="885" t="s">
        <v>20</v>
      </c>
      <c r="B3" s="886"/>
      <c r="C3" s="886"/>
      <c r="D3" s="886"/>
      <c r="E3" s="886"/>
      <c r="F3" s="886"/>
      <c r="G3" s="886"/>
      <c r="H3" s="887"/>
      <c r="I3" s="1"/>
      <c r="J3" s="885" t="s">
        <v>150</v>
      </c>
      <c r="K3" s="886"/>
      <c r="L3" s="886"/>
      <c r="M3" s="886"/>
      <c r="N3" s="886"/>
      <c r="O3" s="886"/>
      <c r="P3" s="886"/>
      <c r="Q3" s="887"/>
    </row>
    <row r="4" spans="1:17" ht="12.75" customHeight="1" thickBot="1" x14ac:dyDescent="0.3">
      <c r="A4" s="13" t="s">
        <v>163</v>
      </c>
      <c r="B4" s="112">
        <f>total_ppe</f>
        <v>0</v>
      </c>
      <c r="C4" s="14" t="s">
        <v>173</v>
      </c>
      <c r="D4" s="250"/>
      <c r="E4" s="888" t="s">
        <v>174</v>
      </c>
      <c r="F4" s="888"/>
      <c r="G4" s="888"/>
      <c r="H4" s="113">
        <f>B4-D4</f>
        <v>0</v>
      </c>
      <c r="I4" s="1"/>
      <c r="J4" s="13" t="s">
        <v>163</v>
      </c>
      <c r="K4" s="883">
        <f>total_isp</f>
        <v>0</v>
      </c>
      <c r="L4" s="884"/>
      <c r="M4" s="15" t="s">
        <v>173</v>
      </c>
      <c r="N4" s="250"/>
      <c r="O4" s="888" t="s">
        <v>174</v>
      </c>
      <c r="P4" s="888"/>
      <c r="Q4" s="113">
        <f>K4-N4</f>
        <v>0</v>
      </c>
    </row>
    <row r="5" spans="1:17" ht="3.75" customHeight="1" thickBot="1" x14ac:dyDescent="0.3">
      <c r="A5" s="1"/>
      <c r="B5" s="1"/>
      <c r="C5" s="1"/>
      <c r="D5" s="1"/>
      <c r="E5" s="2"/>
      <c r="F5" s="2"/>
      <c r="G5" s="2"/>
      <c r="H5" s="1"/>
      <c r="I5" s="1"/>
      <c r="J5" s="1"/>
      <c r="K5" s="1"/>
      <c r="L5" s="1"/>
      <c r="M5" s="1"/>
      <c r="N5" s="1"/>
      <c r="O5" s="2"/>
      <c r="P5" s="2"/>
      <c r="Q5" s="1"/>
    </row>
    <row r="6" spans="1:17" ht="15.75" thickBot="1" x14ac:dyDescent="0.3">
      <c r="A6" s="749" t="s">
        <v>175</v>
      </c>
      <c r="B6" s="879"/>
      <c r="C6" s="879"/>
      <c r="D6" s="879"/>
      <c r="E6" s="879"/>
      <c r="F6" s="879"/>
      <c r="G6" s="879"/>
      <c r="H6" s="879"/>
      <c r="I6" s="879"/>
      <c r="J6" s="879"/>
      <c r="K6" s="879"/>
      <c r="L6" s="879"/>
      <c r="M6" s="879"/>
      <c r="N6" s="879"/>
      <c r="O6" s="879"/>
      <c r="P6" s="879"/>
      <c r="Q6" s="750"/>
    </row>
    <row r="7" spans="1:17" ht="3.75" customHeight="1" thickBot="1" x14ac:dyDescent="0.3">
      <c r="A7" s="16"/>
      <c r="B7" s="16"/>
      <c r="C7" s="16"/>
      <c r="D7" s="16"/>
      <c r="E7" s="16"/>
      <c r="F7" s="16"/>
      <c r="G7" s="16"/>
      <c r="H7" s="16"/>
      <c r="I7" s="16"/>
      <c r="J7" s="16"/>
      <c r="K7" s="16"/>
      <c r="L7" s="16"/>
      <c r="M7" s="16"/>
      <c r="N7" s="16"/>
      <c r="O7" s="16"/>
      <c r="P7" s="16"/>
      <c r="Q7" s="16"/>
    </row>
    <row r="8" spans="1:17" ht="12.75" customHeight="1" x14ac:dyDescent="0.25">
      <c r="A8" s="835" t="s">
        <v>5</v>
      </c>
      <c r="B8" s="673"/>
      <c r="C8" s="784"/>
      <c r="D8" s="784"/>
      <c r="E8" s="785"/>
      <c r="F8" s="2"/>
      <c r="G8" s="835" t="s">
        <v>5</v>
      </c>
      <c r="H8" s="673"/>
      <c r="I8" s="784"/>
      <c r="J8" s="784"/>
      <c r="K8" s="785"/>
      <c r="L8" s="2"/>
      <c r="M8" s="835" t="s">
        <v>5</v>
      </c>
      <c r="N8" s="673"/>
      <c r="O8" s="784"/>
      <c r="P8" s="784"/>
      <c r="Q8" s="785"/>
    </row>
    <row r="9" spans="1:17" ht="12.75" customHeight="1" x14ac:dyDescent="0.25">
      <c r="A9" s="719" t="s">
        <v>176</v>
      </c>
      <c r="B9" s="701"/>
      <c r="C9" s="638"/>
      <c r="D9" s="638"/>
      <c r="E9" s="708"/>
      <c r="F9" s="2"/>
      <c r="G9" s="719" t="s">
        <v>176</v>
      </c>
      <c r="H9" s="701"/>
      <c r="I9" s="638"/>
      <c r="J9" s="638"/>
      <c r="K9" s="708"/>
      <c r="L9" s="2"/>
      <c r="M9" s="719" t="s">
        <v>176</v>
      </c>
      <c r="N9" s="701"/>
      <c r="O9" s="638"/>
      <c r="P9" s="638"/>
      <c r="Q9" s="708"/>
    </row>
    <row r="10" spans="1:17" ht="12.75" customHeight="1" x14ac:dyDescent="0.25">
      <c r="A10" s="719" t="s">
        <v>177</v>
      </c>
      <c r="B10" s="701"/>
      <c r="C10" s="638"/>
      <c r="D10" s="638"/>
      <c r="E10" s="708"/>
      <c r="F10" s="2"/>
      <c r="G10" s="719" t="s">
        <v>177</v>
      </c>
      <c r="H10" s="701"/>
      <c r="I10" s="638"/>
      <c r="J10" s="638"/>
      <c r="K10" s="708"/>
      <c r="L10" s="2"/>
      <c r="M10" s="719" t="s">
        <v>177</v>
      </c>
      <c r="N10" s="701"/>
      <c r="O10" s="638"/>
      <c r="P10" s="638"/>
      <c r="Q10" s="708"/>
    </row>
    <row r="11" spans="1:17" ht="12.75" customHeight="1" x14ac:dyDescent="0.25">
      <c r="A11" s="719" t="s">
        <v>178</v>
      </c>
      <c r="B11" s="701"/>
      <c r="C11" s="638"/>
      <c r="D11" s="638"/>
      <c r="E11" s="708"/>
      <c r="F11" s="2"/>
      <c r="G11" s="719" t="s">
        <v>178</v>
      </c>
      <c r="H11" s="701"/>
      <c r="I11" s="638"/>
      <c r="J11" s="638"/>
      <c r="K11" s="708"/>
      <c r="L11" s="2"/>
      <c r="M11" s="719" t="s">
        <v>178</v>
      </c>
      <c r="N11" s="701"/>
      <c r="O11" s="638"/>
      <c r="P11" s="638"/>
      <c r="Q11" s="708"/>
    </row>
    <row r="12" spans="1:17" ht="12.75" customHeight="1" x14ac:dyDescent="0.25">
      <c r="A12" s="719" t="s">
        <v>179</v>
      </c>
      <c r="B12" s="701"/>
      <c r="C12" s="638"/>
      <c r="D12" s="638"/>
      <c r="E12" s="708"/>
      <c r="F12" s="2"/>
      <c r="G12" s="719" t="s">
        <v>179</v>
      </c>
      <c r="H12" s="701"/>
      <c r="I12" s="638"/>
      <c r="J12" s="638"/>
      <c r="K12" s="708"/>
      <c r="L12" s="2"/>
      <c r="M12" s="719" t="s">
        <v>179</v>
      </c>
      <c r="N12" s="701"/>
      <c r="O12" s="638"/>
      <c r="P12" s="638"/>
      <c r="Q12" s="708"/>
    </row>
    <row r="13" spans="1:17" ht="12.75" customHeight="1" x14ac:dyDescent="0.25">
      <c r="A13" s="719" t="s">
        <v>180</v>
      </c>
      <c r="B13" s="701"/>
      <c r="C13" s="638"/>
      <c r="D13" s="638"/>
      <c r="E13" s="708"/>
      <c r="F13" s="2"/>
      <c r="G13" s="719" t="s">
        <v>180</v>
      </c>
      <c r="H13" s="701"/>
      <c r="I13" s="638"/>
      <c r="J13" s="638"/>
      <c r="K13" s="708"/>
      <c r="L13" s="2"/>
      <c r="M13" s="719" t="s">
        <v>180</v>
      </c>
      <c r="N13" s="701"/>
      <c r="O13" s="638"/>
      <c r="P13" s="638"/>
      <c r="Q13" s="708"/>
    </row>
    <row r="14" spans="1:17" ht="12.75" customHeight="1" thickBot="1" x14ac:dyDescent="0.3">
      <c r="A14" s="45" t="s">
        <v>103</v>
      </c>
      <c r="B14" s="714"/>
      <c r="C14" s="714"/>
      <c r="D14" s="714"/>
      <c r="E14" s="777"/>
      <c r="F14" s="2"/>
      <c r="G14" s="45" t="s">
        <v>103</v>
      </c>
      <c r="H14" s="714"/>
      <c r="I14" s="714"/>
      <c r="J14" s="714"/>
      <c r="K14" s="777"/>
      <c r="L14" s="2"/>
      <c r="M14" s="45" t="s">
        <v>103</v>
      </c>
      <c r="N14" s="714"/>
      <c r="O14" s="714"/>
      <c r="P14" s="714"/>
      <c r="Q14" s="777"/>
    </row>
    <row r="15" spans="1:17" ht="3.75" customHeight="1" thickBot="1" x14ac:dyDescent="0.3">
      <c r="A15" s="2"/>
      <c r="B15" s="2"/>
      <c r="C15" s="2"/>
      <c r="D15" s="2"/>
      <c r="E15" s="2"/>
      <c r="F15" s="2"/>
      <c r="G15" s="2"/>
      <c r="H15" s="2"/>
      <c r="I15" s="2"/>
      <c r="J15" s="2"/>
      <c r="K15" s="2"/>
      <c r="L15" s="2"/>
      <c r="M15" s="2"/>
      <c r="N15" s="2"/>
      <c r="O15" s="2"/>
      <c r="P15" s="2"/>
      <c r="Q15" s="2"/>
    </row>
    <row r="16" spans="1:17" ht="12.75" customHeight="1" x14ac:dyDescent="0.25">
      <c r="A16" s="835" t="s">
        <v>5</v>
      </c>
      <c r="B16" s="673"/>
      <c r="C16" s="784"/>
      <c r="D16" s="784"/>
      <c r="E16" s="785"/>
      <c r="F16" s="2"/>
      <c r="G16" s="835" t="s">
        <v>5</v>
      </c>
      <c r="H16" s="673"/>
      <c r="I16" s="784"/>
      <c r="J16" s="784"/>
      <c r="K16" s="785"/>
      <c r="L16" s="2"/>
      <c r="M16" s="835" t="s">
        <v>5</v>
      </c>
      <c r="N16" s="673"/>
      <c r="O16" s="784"/>
      <c r="P16" s="784"/>
      <c r="Q16" s="785"/>
    </row>
    <row r="17" spans="1:17" ht="12.75" customHeight="1" x14ac:dyDescent="0.25">
      <c r="A17" s="719" t="s">
        <v>176</v>
      </c>
      <c r="B17" s="701"/>
      <c r="C17" s="638"/>
      <c r="D17" s="638"/>
      <c r="E17" s="708"/>
      <c r="F17" s="2"/>
      <c r="G17" s="719" t="s">
        <v>176</v>
      </c>
      <c r="H17" s="701"/>
      <c r="I17" s="638"/>
      <c r="J17" s="638"/>
      <c r="K17" s="708"/>
      <c r="L17" s="2"/>
      <c r="M17" s="719" t="s">
        <v>176</v>
      </c>
      <c r="N17" s="701"/>
      <c r="O17" s="638"/>
      <c r="P17" s="638"/>
      <c r="Q17" s="708"/>
    </row>
    <row r="18" spans="1:17" ht="12.75" customHeight="1" x14ac:dyDescent="0.25">
      <c r="A18" s="719" t="s">
        <v>177</v>
      </c>
      <c r="B18" s="701"/>
      <c r="C18" s="638"/>
      <c r="D18" s="638"/>
      <c r="E18" s="708"/>
      <c r="F18" s="2"/>
      <c r="G18" s="719" t="s">
        <v>177</v>
      </c>
      <c r="H18" s="701"/>
      <c r="I18" s="638"/>
      <c r="J18" s="638"/>
      <c r="K18" s="708"/>
      <c r="L18" s="2"/>
      <c r="M18" s="719" t="s">
        <v>177</v>
      </c>
      <c r="N18" s="701"/>
      <c r="O18" s="638"/>
      <c r="P18" s="638"/>
      <c r="Q18" s="708"/>
    </row>
    <row r="19" spans="1:17" ht="12.75" customHeight="1" x14ac:dyDescent="0.25">
      <c r="A19" s="719" t="s">
        <v>178</v>
      </c>
      <c r="B19" s="701"/>
      <c r="C19" s="638"/>
      <c r="D19" s="638"/>
      <c r="E19" s="708"/>
      <c r="F19" s="2"/>
      <c r="G19" s="719" t="s">
        <v>178</v>
      </c>
      <c r="H19" s="701"/>
      <c r="I19" s="638"/>
      <c r="J19" s="638"/>
      <c r="K19" s="708"/>
      <c r="L19" s="2"/>
      <c r="M19" s="719" t="s">
        <v>178</v>
      </c>
      <c r="N19" s="701"/>
      <c r="O19" s="638"/>
      <c r="P19" s="638"/>
      <c r="Q19" s="708"/>
    </row>
    <row r="20" spans="1:17" ht="12.75" customHeight="1" x14ac:dyDescent="0.25">
      <c r="A20" s="719" t="s">
        <v>179</v>
      </c>
      <c r="B20" s="701"/>
      <c r="C20" s="638"/>
      <c r="D20" s="638"/>
      <c r="E20" s="708"/>
      <c r="F20" s="2"/>
      <c r="G20" s="719" t="s">
        <v>179</v>
      </c>
      <c r="H20" s="701"/>
      <c r="I20" s="638"/>
      <c r="J20" s="638"/>
      <c r="K20" s="708"/>
      <c r="L20" s="2"/>
      <c r="M20" s="719" t="s">
        <v>179</v>
      </c>
      <c r="N20" s="701"/>
      <c r="O20" s="638"/>
      <c r="P20" s="638"/>
      <c r="Q20" s="708"/>
    </row>
    <row r="21" spans="1:17" ht="12.75" customHeight="1" x14ac:dyDescent="0.25">
      <c r="A21" s="719" t="s">
        <v>180</v>
      </c>
      <c r="B21" s="701"/>
      <c r="C21" s="638"/>
      <c r="D21" s="638"/>
      <c r="E21" s="708"/>
      <c r="F21" s="2"/>
      <c r="G21" s="719" t="s">
        <v>180</v>
      </c>
      <c r="H21" s="701"/>
      <c r="I21" s="638"/>
      <c r="J21" s="638"/>
      <c r="K21" s="708"/>
      <c r="L21" s="2"/>
      <c r="M21" s="719" t="s">
        <v>180</v>
      </c>
      <c r="N21" s="701"/>
      <c r="O21" s="638"/>
      <c r="P21" s="638"/>
      <c r="Q21" s="708"/>
    </row>
    <row r="22" spans="1:17" ht="12.75" customHeight="1" thickBot="1" x14ac:dyDescent="0.3">
      <c r="A22" s="45" t="s">
        <v>103</v>
      </c>
      <c r="B22" s="714"/>
      <c r="C22" s="714"/>
      <c r="D22" s="714"/>
      <c r="E22" s="777"/>
      <c r="F22" s="2"/>
      <c r="G22" s="45" t="s">
        <v>103</v>
      </c>
      <c r="H22" s="714"/>
      <c r="I22" s="714"/>
      <c r="J22" s="714"/>
      <c r="K22" s="777"/>
      <c r="L22" s="2"/>
      <c r="M22" s="45" t="s">
        <v>103</v>
      </c>
      <c r="N22" s="714"/>
      <c r="O22" s="714"/>
      <c r="P22" s="714"/>
      <c r="Q22" s="777"/>
    </row>
    <row r="23" spans="1:17" ht="3.75" customHeight="1" thickBot="1" x14ac:dyDescent="0.3">
      <c r="A23" s="2"/>
      <c r="B23" s="2"/>
      <c r="C23" s="2"/>
      <c r="D23" s="2"/>
      <c r="E23" s="2"/>
      <c r="F23" s="2"/>
      <c r="G23" s="2"/>
      <c r="H23" s="2"/>
      <c r="I23" s="2"/>
      <c r="J23" s="2"/>
      <c r="K23" s="2"/>
      <c r="L23" s="2"/>
      <c r="M23" s="2"/>
      <c r="N23" s="2"/>
      <c r="O23" s="2"/>
      <c r="P23" s="2"/>
      <c r="Q23" s="2"/>
    </row>
    <row r="24" spans="1:17" ht="12.75" customHeight="1" x14ac:dyDescent="0.25">
      <c r="A24" s="835" t="s">
        <v>5</v>
      </c>
      <c r="B24" s="673"/>
      <c r="C24" s="784"/>
      <c r="D24" s="784"/>
      <c r="E24" s="785"/>
      <c r="F24" s="2"/>
      <c r="G24" s="835" t="s">
        <v>5</v>
      </c>
      <c r="H24" s="673"/>
      <c r="I24" s="784"/>
      <c r="J24" s="784"/>
      <c r="K24" s="785"/>
      <c r="L24" s="2"/>
      <c r="M24" s="835" t="s">
        <v>5</v>
      </c>
      <c r="N24" s="673"/>
      <c r="O24" s="784"/>
      <c r="P24" s="784"/>
      <c r="Q24" s="785"/>
    </row>
    <row r="25" spans="1:17" ht="12.75" customHeight="1" x14ac:dyDescent="0.25">
      <c r="A25" s="719" t="s">
        <v>176</v>
      </c>
      <c r="B25" s="701"/>
      <c r="C25" s="638"/>
      <c r="D25" s="638"/>
      <c r="E25" s="708"/>
      <c r="F25" s="2"/>
      <c r="G25" s="719" t="s">
        <v>176</v>
      </c>
      <c r="H25" s="701"/>
      <c r="I25" s="638"/>
      <c r="J25" s="638"/>
      <c r="K25" s="708"/>
      <c r="L25" s="2"/>
      <c r="M25" s="719" t="s">
        <v>176</v>
      </c>
      <c r="N25" s="701"/>
      <c r="O25" s="638"/>
      <c r="P25" s="638"/>
      <c r="Q25" s="708"/>
    </row>
    <row r="26" spans="1:17" ht="12.75" customHeight="1" x14ac:dyDescent="0.25">
      <c r="A26" s="719" t="s">
        <v>177</v>
      </c>
      <c r="B26" s="701"/>
      <c r="C26" s="638"/>
      <c r="D26" s="638"/>
      <c r="E26" s="708"/>
      <c r="F26" s="2"/>
      <c r="G26" s="719" t="s">
        <v>177</v>
      </c>
      <c r="H26" s="701"/>
      <c r="I26" s="638"/>
      <c r="J26" s="638"/>
      <c r="K26" s="708"/>
      <c r="L26" s="2"/>
      <c r="M26" s="719" t="s">
        <v>177</v>
      </c>
      <c r="N26" s="701"/>
      <c r="O26" s="638"/>
      <c r="P26" s="638"/>
      <c r="Q26" s="708"/>
    </row>
    <row r="27" spans="1:17" ht="12.75" customHeight="1" x14ac:dyDescent="0.25">
      <c r="A27" s="719" t="s">
        <v>178</v>
      </c>
      <c r="B27" s="701"/>
      <c r="C27" s="638"/>
      <c r="D27" s="638"/>
      <c r="E27" s="708"/>
      <c r="F27" s="2"/>
      <c r="G27" s="719" t="s">
        <v>178</v>
      </c>
      <c r="H27" s="701"/>
      <c r="I27" s="638"/>
      <c r="J27" s="638"/>
      <c r="K27" s="708"/>
      <c r="L27" s="2"/>
      <c r="M27" s="719" t="s">
        <v>178</v>
      </c>
      <c r="N27" s="701"/>
      <c r="O27" s="638"/>
      <c r="P27" s="638"/>
      <c r="Q27" s="708"/>
    </row>
    <row r="28" spans="1:17" ht="12.75" customHeight="1" x14ac:dyDescent="0.25">
      <c r="A28" s="719" t="s">
        <v>179</v>
      </c>
      <c r="B28" s="701"/>
      <c r="C28" s="638"/>
      <c r="D28" s="638"/>
      <c r="E28" s="708"/>
      <c r="F28" s="2"/>
      <c r="G28" s="719" t="s">
        <v>179</v>
      </c>
      <c r="H28" s="701"/>
      <c r="I28" s="638"/>
      <c r="J28" s="638"/>
      <c r="K28" s="708"/>
      <c r="L28" s="2"/>
      <c r="M28" s="719" t="s">
        <v>179</v>
      </c>
      <c r="N28" s="701"/>
      <c r="O28" s="638"/>
      <c r="P28" s="638"/>
      <c r="Q28" s="708"/>
    </row>
    <row r="29" spans="1:17" ht="12.75" customHeight="1" x14ac:dyDescent="0.25">
      <c r="A29" s="719" t="s">
        <v>180</v>
      </c>
      <c r="B29" s="701"/>
      <c r="C29" s="638"/>
      <c r="D29" s="638"/>
      <c r="E29" s="708"/>
      <c r="F29" s="2"/>
      <c r="G29" s="719" t="s">
        <v>180</v>
      </c>
      <c r="H29" s="701"/>
      <c r="I29" s="638"/>
      <c r="J29" s="638"/>
      <c r="K29" s="708"/>
      <c r="L29" s="2"/>
      <c r="M29" s="719" t="s">
        <v>180</v>
      </c>
      <c r="N29" s="701"/>
      <c r="O29" s="638"/>
      <c r="P29" s="638"/>
      <c r="Q29" s="708"/>
    </row>
    <row r="30" spans="1:17" ht="12.75" customHeight="1" thickBot="1" x14ac:dyDescent="0.3">
      <c r="A30" s="45" t="s">
        <v>103</v>
      </c>
      <c r="B30" s="714"/>
      <c r="C30" s="714"/>
      <c r="D30" s="714"/>
      <c r="E30" s="777"/>
      <c r="F30" s="2"/>
      <c r="G30" s="45" t="s">
        <v>103</v>
      </c>
      <c r="H30" s="714"/>
      <c r="I30" s="714"/>
      <c r="J30" s="714"/>
      <c r="K30" s="777"/>
      <c r="L30" s="2"/>
      <c r="M30" s="45" t="s">
        <v>103</v>
      </c>
      <c r="N30" s="714"/>
      <c r="O30" s="714"/>
      <c r="P30" s="714"/>
      <c r="Q30" s="777"/>
    </row>
    <row r="31" spans="1:17" ht="3.75" customHeight="1" thickBot="1" x14ac:dyDescent="0.3">
      <c r="A31" s="2"/>
      <c r="B31" s="2"/>
      <c r="C31" s="2"/>
      <c r="D31" s="2"/>
      <c r="E31" s="2"/>
      <c r="F31" s="2"/>
      <c r="G31" s="2"/>
      <c r="H31" s="2"/>
      <c r="I31" s="2"/>
      <c r="J31" s="2"/>
      <c r="K31" s="2"/>
      <c r="L31" s="2"/>
      <c r="M31" s="2"/>
      <c r="N31" s="2"/>
      <c r="O31" s="2"/>
      <c r="P31" s="2"/>
      <c r="Q31" s="2"/>
    </row>
    <row r="32" spans="1:17" ht="12.75" customHeight="1" x14ac:dyDescent="0.25">
      <c r="A32" s="835" t="s">
        <v>5</v>
      </c>
      <c r="B32" s="673"/>
      <c r="C32" s="784"/>
      <c r="D32" s="784"/>
      <c r="E32" s="785"/>
      <c r="F32" s="2"/>
      <c r="G32" s="835" t="s">
        <v>5</v>
      </c>
      <c r="H32" s="673"/>
      <c r="I32" s="784"/>
      <c r="J32" s="784"/>
      <c r="K32" s="785"/>
      <c r="L32" s="2"/>
      <c r="M32" s="835" t="s">
        <v>5</v>
      </c>
      <c r="N32" s="673"/>
      <c r="O32" s="784"/>
      <c r="P32" s="784"/>
      <c r="Q32" s="785"/>
    </row>
    <row r="33" spans="1:17" ht="12.75" customHeight="1" x14ac:dyDescent="0.25">
      <c r="A33" s="719" t="s">
        <v>176</v>
      </c>
      <c r="B33" s="701"/>
      <c r="C33" s="638"/>
      <c r="D33" s="638"/>
      <c r="E33" s="708"/>
      <c r="F33" s="2"/>
      <c r="G33" s="719" t="s">
        <v>176</v>
      </c>
      <c r="H33" s="701"/>
      <c r="I33" s="638"/>
      <c r="J33" s="638"/>
      <c r="K33" s="708"/>
      <c r="L33" s="2"/>
      <c r="M33" s="719" t="s">
        <v>176</v>
      </c>
      <c r="N33" s="701"/>
      <c r="O33" s="638"/>
      <c r="P33" s="638"/>
      <c r="Q33" s="708"/>
    </row>
    <row r="34" spans="1:17" ht="12.75" customHeight="1" x14ac:dyDescent="0.25">
      <c r="A34" s="719" t="s">
        <v>177</v>
      </c>
      <c r="B34" s="701"/>
      <c r="C34" s="638"/>
      <c r="D34" s="638"/>
      <c r="E34" s="708"/>
      <c r="F34" s="2"/>
      <c r="G34" s="719" t="s">
        <v>177</v>
      </c>
      <c r="H34" s="701"/>
      <c r="I34" s="638"/>
      <c r="J34" s="638"/>
      <c r="K34" s="708"/>
      <c r="L34" s="2"/>
      <c r="M34" s="719" t="s">
        <v>177</v>
      </c>
      <c r="N34" s="701"/>
      <c r="O34" s="638"/>
      <c r="P34" s="638"/>
      <c r="Q34" s="708"/>
    </row>
    <row r="35" spans="1:17" ht="12.75" customHeight="1" x14ac:dyDescent="0.25">
      <c r="A35" s="719" t="s">
        <v>178</v>
      </c>
      <c r="B35" s="701"/>
      <c r="C35" s="638"/>
      <c r="D35" s="638"/>
      <c r="E35" s="708"/>
      <c r="F35" s="2"/>
      <c r="G35" s="719" t="s">
        <v>178</v>
      </c>
      <c r="H35" s="701"/>
      <c r="I35" s="638"/>
      <c r="J35" s="638"/>
      <c r="K35" s="708"/>
      <c r="L35" s="2"/>
      <c r="M35" s="719" t="s">
        <v>178</v>
      </c>
      <c r="N35" s="701"/>
      <c r="O35" s="638"/>
      <c r="P35" s="638"/>
      <c r="Q35" s="708"/>
    </row>
    <row r="36" spans="1:17" ht="12.75" customHeight="1" x14ac:dyDescent="0.25">
      <c r="A36" s="719" t="s">
        <v>179</v>
      </c>
      <c r="B36" s="701"/>
      <c r="C36" s="638"/>
      <c r="D36" s="638"/>
      <c r="E36" s="708"/>
      <c r="F36" s="2"/>
      <c r="G36" s="719" t="s">
        <v>179</v>
      </c>
      <c r="H36" s="701"/>
      <c r="I36" s="638"/>
      <c r="J36" s="638"/>
      <c r="K36" s="708"/>
      <c r="L36" s="2"/>
      <c r="M36" s="719" t="s">
        <v>179</v>
      </c>
      <c r="N36" s="701"/>
      <c r="O36" s="638"/>
      <c r="P36" s="638"/>
      <c r="Q36" s="708"/>
    </row>
    <row r="37" spans="1:17" ht="12.75" customHeight="1" x14ac:dyDescent="0.25">
      <c r="A37" s="719" t="s">
        <v>180</v>
      </c>
      <c r="B37" s="701"/>
      <c r="C37" s="638"/>
      <c r="D37" s="638"/>
      <c r="E37" s="708"/>
      <c r="F37" s="2"/>
      <c r="G37" s="719" t="s">
        <v>180</v>
      </c>
      <c r="H37" s="701"/>
      <c r="I37" s="638"/>
      <c r="J37" s="638"/>
      <c r="K37" s="708"/>
      <c r="L37" s="2"/>
      <c r="M37" s="719" t="s">
        <v>180</v>
      </c>
      <c r="N37" s="701"/>
      <c r="O37" s="638"/>
      <c r="P37" s="638"/>
      <c r="Q37" s="708"/>
    </row>
    <row r="38" spans="1:17" ht="12.75" customHeight="1" thickBot="1" x14ac:dyDescent="0.3">
      <c r="A38" s="45" t="s">
        <v>103</v>
      </c>
      <c r="B38" s="714"/>
      <c r="C38" s="714"/>
      <c r="D38" s="714"/>
      <c r="E38" s="777"/>
      <c r="F38" s="2"/>
      <c r="G38" s="45" t="s">
        <v>103</v>
      </c>
      <c r="H38" s="714"/>
      <c r="I38" s="714"/>
      <c r="J38" s="714"/>
      <c r="K38" s="777"/>
      <c r="L38" s="2"/>
      <c r="M38" s="45" t="s">
        <v>103</v>
      </c>
      <c r="N38" s="714"/>
      <c r="O38" s="714"/>
      <c r="P38" s="714"/>
      <c r="Q38" s="777"/>
    </row>
    <row r="39" spans="1:17" ht="3.75" customHeight="1" thickBot="1" x14ac:dyDescent="0.3">
      <c r="A39" s="2"/>
      <c r="B39" s="2"/>
      <c r="C39" s="2"/>
      <c r="D39" s="2"/>
      <c r="E39" s="2"/>
      <c r="F39" s="2"/>
      <c r="G39" s="2"/>
      <c r="H39" s="2"/>
      <c r="I39" s="2"/>
      <c r="J39" s="2"/>
      <c r="K39" s="2"/>
      <c r="L39" s="2"/>
      <c r="M39" s="2"/>
      <c r="N39" s="2"/>
      <c r="O39" s="2"/>
      <c r="P39" s="2"/>
      <c r="Q39" s="2"/>
    </row>
    <row r="40" spans="1:17" ht="12.75" customHeight="1" x14ac:dyDescent="0.25">
      <c r="A40" s="835" t="s">
        <v>5</v>
      </c>
      <c r="B40" s="673"/>
      <c r="C40" s="784"/>
      <c r="D40" s="784"/>
      <c r="E40" s="785"/>
      <c r="F40" s="2"/>
      <c r="G40" s="835" t="s">
        <v>5</v>
      </c>
      <c r="H40" s="673"/>
      <c r="I40" s="784"/>
      <c r="J40" s="784"/>
      <c r="K40" s="785"/>
      <c r="L40" s="2"/>
      <c r="M40" s="835" t="s">
        <v>5</v>
      </c>
      <c r="N40" s="673"/>
      <c r="O40" s="784"/>
      <c r="P40" s="784"/>
      <c r="Q40" s="785"/>
    </row>
    <row r="41" spans="1:17" ht="12.75" customHeight="1" x14ac:dyDescent="0.25">
      <c r="A41" s="719" t="s">
        <v>176</v>
      </c>
      <c r="B41" s="701"/>
      <c r="C41" s="638"/>
      <c r="D41" s="638"/>
      <c r="E41" s="708"/>
      <c r="F41" s="2"/>
      <c r="G41" s="719" t="s">
        <v>176</v>
      </c>
      <c r="H41" s="701"/>
      <c r="I41" s="638"/>
      <c r="J41" s="638"/>
      <c r="K41" s="708"/>
      <c r="L41" s="2"/>
      <c r="M41" s="719" t="s">
        <v>176</v>
      </c>
      <c r="N41" s="701"/>
      <c r="O41" s="638"/>
      <c r="P41" s="638"/>
      <c r="Q41" s="708"/>
    </row>
    <row r="42" spans="1:17" ht="12.75" customHeight="1" x14ac:dyDescent="0.25">
      <c r="A42" s="719" t="s">
        <v>177</v>
      </c>
      <c r="B42" s="701"/>
      <c r="C42" s="638"/>
      <c r="D42" s="638"/>
      <c r="E42" s="708"/>
      <c r="F42" s="2"/>
      <c r="G42" s="719" t="s">
        <v>177</v>
      </c>
      <c r="H42" s="701"/>
      <c r="I42" s="638"/>
      <c r="J42" s="638"/>
      <c r="K42" s="708"/>
      <c r="L42" s="2"/>
      <c r="M42" s="719" t="s">
        <v>177</v>
      </c>
      <c r="N42" s="701"/>
      <c r="O42" s="638"/>
      <c r="P42" s="638"/>
      <c r="Q42" s="708"/>
    </row>
    <row r="43" spans="1:17" ht="12.75" customHeight="1" x14ac:dyDescent="0.25">
      <c r="A43" s="719" t="s">
        <v>178</v>
      </c>
      <c r="B43" s="701"/>
      <c r="C43" s="638"/>
      <c r="D43" s="638"/>
      <c r="E43" s="708"/>
      <c r="F43" s="2"/>
      <c r="G43" s="719" t="s">
        <v>178</v>
      </c>
      <c r="H43" s="701"/>
      <c r="I43" s="638"/>
      <c r="J43" s="638"/>
      <c r="K43" s="708"/>
      <c r="L43" s="2"/>
      <c r="M43" s="719" t="s">
        <v>178</v>
      </c>
      <c r="N43" s="701"/>
      <c r="O43" s="638"/>
      <c r="P43" s="638"/>
      <c r="Q43" s="708"/>
    </row>
    <row r="44" spans="1:17" ht="12.75" customHeight="1" x14ac:dyDescent="0.25">
      <c r="A44" s="719" t="s">
        <v>179</v>
      </c>
      <c r="B44" s="701"/>
      <c r="C44" s="638"/>
      <c r="D44" s="638"/>
      <c r="E44" s="708"/>
      <c r="F44" s="2"/>
      <c r="G44" s="719" t="s">
        <v>179</v>
      </c>
      <c r="H44" s="701"/>
      <c r="I44" s="638"/>
      <c r="J44" s="638"/>
      <c r="K44" s="708"/>
      <c r="L44" s="2"/>
      <c r="M44" s="719" t="s">
        <v>179</v>
      </c>
      <c r="N44" s="701"/>
      <c r="O44" s="638"/>
      <c r="P44" s="638"/>
      <c r="Q44" s="708"/>
    </row>
    <row r="45" spans="1:17" ht="12.75" customHeight="1" x14ac:dyDescent="0.25">
      <c r="A45" s="719" t="s">
        <v>180</v>
      </c>
      <c r="B45" s="701"/>
      <c r="C45" s="638"/>
      <c r="D45" s="638"/>
      <c r="E45" s="708"/>
      <c r="F45" s="2"/>
      <c r="G45" s="719" t="s">
        <v>180</v>
      </c>
      <c r="H45" s="701"/>
      <c r="I45" s="638"/>
      <c r="J45" s="638"/>
      <c r="K45" s="708"/>
      <c r="L45" s="2"/>
      <c r="M45" s="719" t="s">
        <v>180</v>
      </c>
      <c r="N45" s="701"/>
      <c r="O45" s="638"/>
      <c r="P45" s="638"/>
      <c r="Q45" s="708"/>
    </row>
    <row r="46" spans="1:17" ht="12.75" customHeight="1" thickBot="1" x14ac:dyDescent="0.3">
      <c r="A46" s="45" t="s">
        <v>103</v>
      </c>
      <c r="B46" s="714"/>
      <c r="C46" s="714"/>
      <c r="D46" s="714"/>
      <c r="E46" s="777"/>
      <c r="F46" s="2"/>
      <c r="G46" s="45" t="s">
        <v>103</v>
      </c>
      <c r="H46" s="714"/>
      <c r="I46" s="714"/>
      <c r="J46" s="714"/>
      <c r="K46" s="777"/>
      <c r="L46" s="2"/>
      <c r="M46" s="45" t="s">
        <v>103</v>
      </c>
      <c r="N46" s="714"/>
      <c r="O46" s="714"/>
      <c r="P46" s="714"/>
      <c r="Q46" s="777"/>
    </row>
    <row r="47" spans="1:17" ht="3.75" customHeight="1" thickBot="1" x14ac:dyDescent="0.3">
      <c r="A47" s="2"/>
      <c r="B47" s="2"/>
      <c r="C47" s="2"/>
      <c r="D47" s="2"/>
      <c r="E47" s="2"/>
      <c r="F47" s="2"/>
      <c r="G47" s="2"/>
      <c r="H47" s="2"/>
      <c r="I47" s="2"/>
      <c r="J47" s="2"/>
      <c r="K47" s="2"/>
      <c r="L47" s="2"/>
      <c r="M47" s="2"/>
      <c r="N47" s="2"/>
      <c r="O47" s="2"/>
      <c r="P47" s="2"/>
      <c r="Q47" s="2"/>
    </row>
    <row r="48" spans="1:17" ht="12" customHeight="1" x14ac:dyDescent="0.25">
      <c r="A48" s="835" t="s">
        <v>5</v>
      </c>
      <c r="B48" s="673"/>
      <c r="C48" s="784"/>
      <c r="D48" s="784"/>
      <c r="E48" s="785"/>
      <c r="F48" s="2"/>
      <c r="G48" s="835" t="s">
        <v>5</v>
      </c>
      <c r="H48" s="673"/>
      <c r="I48" s="784"/>
      <c r="J48" s="784"/>
      <c r="K48" s="785"/>
      <c r="L48" s="2"/>
      <c r="M48" s="835" t="s">
        <v>5</v>
      </c>
      <c r="N48" s="673"/>
      <c r="O48" s="784"/>
      <c r="P48" s="784"/>
      <c r="Q48" s="785"/>
    </row>
    <row r="49" spans="1:17" ht="12" customHeight="1" x14ac:dyDescent="0.25">
      <c r="A49" s="719" t="s">
        <v>176</v>
      </c>
      <c r="B49" s="701"/>
      <c r="C49" s="638"/>
      <c r="D49" s="638"/>
      <c r="E49" s="708"/>
      <c r="F49" s="2"/>
      <c r="G49" s="719" t="s">
        <v>176</v>
      </c>
      <c r="H49" s="701"/>
      <c r="I49" s="638"/>
      <c r="J49" s="638"/>
      <c r="K49" s="708"/>
      <c r="L49" s="2"/>
      <c r="M49" s="719" t="s">
        <v>176</v>
      </c>
      <c r="N49" s="701"/>
      <c r="O49" s="638"/>
      <c r="P49" s="638"/>
      <c r="Q49" s="708"/>
    </row>
    <row r="50" spans="1:17" ht="12" customHeight="1" x14ac:dyDescent="0.25">
      <c r="A50" s="719" t="s">
        <v>177</v>
      </c>
      <c r="B50" s="701"/>
      <c r="C50" s="638"/>
      <c r="D50" s="638"/>
      <c r="E50" s="708"/>
      <c r="F50" s="2"/>
      <c r="G50" s="719" t="s">
        <v>177</v>
      </c>
      <c r="H50" s="701"/>
      <c r="I50" s="638"/>
      <c r="J50" s="638"/>
      <c r="K50" s="708"/>
      <c r="L50" s="2"/>
      <c r="M50" s="719" t="s">
        <v>177</v>
      </c>
      <c r="N50" s="701"/>
      <c r="O50" s="638"/>
      <c r="P50" s="638"/>
      <c r="Q50" s="708"/>
    </row>
    <row r="51" spans="1:17" ht="12" customHeight="1" x14ac:dyDescent="0.25">
      <c r="A51" s="719" t="s">
        <v>178</v>
      </c>
      <c r="B51" s="701"/>
      <c r="C51" s="638"/>
      <c r="D51" s="638"/>
      <c r="E51" s="708"/>
      <c r="F51" s="2"/>
      <c r="G51" s="719" t="s">
        <v>178</v>
      </c>
      <c r="H51" s="701"/>
      <c r="I51" s="638"/>
      <c r="J51" s="638"/>
      <c r="K51" s="708"/>
      <c r="L51" s="2"/>
      <c r="M51" s="719" t="s">
        <v>178</v>
      </c>
      <c r="N51" s="701"/>
      <c r="O51" s="638"/>
      <c r="P51" s="638"/>
      <c r="Q51" s="708"/>
    </row>
    <row r="52" spans="1:17" ht="12" customHeight="1" x14ac:dyDescent="0.25">
      <c r="A52" s="719" t="s">
        <v>179</v>
      </c>
      <c r="B52" s="701"/>
      <c r="C52" s="638"/>
      <c r="D52" s="638"/>
      <c r="E52" s="708"/>
      <c r="F52" s="2"/>
      <c r="G52" s="719" t="s">
        <v>179</v>
      </c>
      <c r="H52" s="701"/>
      <c r="I52" s="638"/>
      <c r="J52" s="638"/>
      <c r="K52" s="708"/>
      <c r="L52" s="2"/>
      <c r="M52" s="719" t="s">
        <v>179</v>
      </c>
      <c r="N52" s="701"/>
      <c r="O52" s="638"/>
      <c r="P52" s="638"/>
      <c r="Q52" s="708"/>
    </row>
    <row r="53" spans="1:17" ht="12" customHeight="1" x14ac:dyDescent="0.25">
      <c r="A53" s="719" t="s">
        <v>180</v>
      </c>
      <c r="B53" s="701"/>
      <c r="C53" s="638"/>
      <c r="D53" s="638"/>
      <c r="E53" s="708"/>
      <c r="F53" s="2"/>
      <c r="G53" s="719" t="s">
        <v>180</v>
      </c>
      <c r="H53" s="701"/>
      <c r="I53" s="638"/>
      <c r="J53" s="638"/>
      <c r="K53" s="708"/>
      <c r="L53" s="2"/>
      <c r="M53" s="719" t="s">
        <v>180</v>
      </c>
      <c r="N53" s="701"/>
      <c r="O53" s="638"/>
      <c r="P53" s="638"/>
      <c r="Q53" s="708"/>
    </row>
    <row r="54" spans="1:17" ht="12" customHeight="1" thickBot="1" x14ac:dyDescent="0.3">
      <c r="A54" s="45" t="s">
        <v>103</v>
      </c>
      <c r="B54" s="714"/>
      <c r="C54" s="714"/>
      <c r="D54" s="714"/>
      <c r="E54" s="777"/>
      <c r="F54" s="2"/>
      <c r="G54" s="45" t="s">
        <v>103</v>
      </c>
      <c r="H54" s="714"/>
      <c r="I54" s="714"/>
      <c r="J54" s="714"/>
      <c r="K54" s="777"/>
      <c r="L54" s="2"/>
      <c r="M54" s="45" t="s">
        <v>103</v>
      </c>
      <c r="N54" s="714"/>
      <c r="O54" s="714"/>
      <c r="P54" s="714"/>
      <c r="Q54" s="777"/>
    </row>
    <row r="55" spans="1:17" ht="3.75" customHeight="1" thickBot="1" x14ac:dyDescent="0.3">
      <c r="A55" s="2"/>
      <c r="B55" s="2"/>
      <c r="C55" s="2"/>
      <c r="D55" s="2"/>
      <c r="E55" s="2"/>
      <c r="F55" s="2"/>
      <c r="G55" s="2"/>
      <c r="H55" s="2"/>
      <c r="I55" s="2"/>
      <c r="J55" s="2"/>
      <c r="K55" s="2"/>
      <c r="L55" s="2"/>
      <c r="M55" s="2"/>
      <c r="N55" s="2"/>
      <c r="O55" s="2"/>
      <c r="P55" s="2"/>
      <c r="Q55" s="2"/>
    </row>
    <row r="56" spans="1:17" ht="12" customHeight="1" x14ac:dyDescent="0.25">
      <c r="A56" s="835" t="s">
        <v>5</v>
      </c>
      <c r="B56" s="673"/>
      <c r="C56" s="784"/>
      <c r="D56" s="784"/>
      <c r="E56" s="785"/>
      <c r="F56" s="2"/>
      <c r="G56" s="835" t="s">
        <v>5</v>
      </c>
      <c r="H56" s="673"/>
      <c r="I56" s="784"/>
      <c r="J56" s="784"/>
      <c r="K56" s="785"/>
      <c r="L56" s="2"/>
      <c r="M56" s="835" t="s">
        <v>5</v>
      </c>
      <c r="N56" s="673"/>
      <c r="O56" s="784"/>
      <c r="P56" s="784"/>
      <c r="Q56" s="785"/>
    </row>
    <row r="57" spans="1:17" ht="12" customHeight="1" x14ac:dyDescent="0.25">
      <c r="A57" s="719" t="s">
        <v>176</v>
      </c>
      <c r="B57" s="701"/>
      <c r="C57" s="638"/>
      <c r="D57" s="638"/>
      <c r="E57" s="708"/>
      <c r="F57" s="2"/>
      <c r="G57" s="719" t="s">
        <v>176</v>
      </c>
      <c r="H57" s="701"/>
      <c r="I57" s="638"/>
      <c r="J57" s="638"/>
      <c r="K57" s="708"/>
      <c r="L57" s="2"/>
      <c r="M57" s="719" t="s">
        <v>176</v>
      </c>
      <c r="N57" s="701"/>
      <c r="O57" s="638"/>
      <c r="P57" s="638"/>
      <c r="Q57" s="708"/>
    </row>
    <row r="58" spans="1:17" ht="12" customHeight="1" x14ac:dyDescent="0.25">
      <c r="A58" s="719" t="s">
        <v>177</v>
      </c>
      <c r="B58" s="701"/>
      <c r="C58" s="638"/>
      <c r="D58" s="638"/>
      <c r="E58" s="708"/>
      <c r="F58" s="2"/>
      <c r="G58" s="719" t="s">
        <v>177</v>
      </c>
      <c r="H58" s="701"/>
      <c r="I58" s="638"/>
      <c r="J58" s="638"/>
      <c r="K58" s="708"/>
      <c r="L58" s="2"/>
      <c r="M58" s="719" t="s">
        <v>177</v>
      </c>
      <c r="N58" s="701"/>
      <c r="O58" s="638"/>
      <c r="P58" s="638"/>
      <c r="Q58" s="708"/>
    </row>
    <row r="59" spans="1:17" ht="12" customHeight="1" x14ac:dyDescent="0.25">
      <c r="A59" s="719" t="s">
        <v>178</v>
      </c>
      <c r="B59" s="701"/>
      <c r="C59" s="638"/>
      <c r="D59" s="638"/>
      <c r="E59" s="708"/>
      <c r="F59" s="2"/>
      <c r="G59" s="719" t="s">
        <v>178</v>
      </c>
      <c r="H59" s="701"/>
      <c r="I59" s="638"/>
      <c r="J59" s="638"/>
      <c r="K59" s="708"/>
      <c r="L59" s="2"/>
      <c r="M59" s="719" t="s">
        <v>178</v>
      </c>
      <c r="N59" s="701"/>
      <c r="O59" s="638"/>
      <c r="P59" s="638"/>
      <c r="Q59" s="708"/>
    </row>
    <row r="60" spans="1:17" ht="12" customHeight="1" x14ac:dyDescent="0.25">
      <c r="A60" s="719" t="s">
        <v>179</v>
      </c>
      <c r="B60" s="701"/>
      <c r="C60" s="638"/>
      <c r="D60" s="638"/>
      <c r="E60" s="708"/>
      <c r="F60" s="2"/>
      <c r="G60" s="719" t="s">
        <v>179</v>
      </c>
      <c r="H60" s="701"/>
      <c r="I60" s="638"/>
      <c r="J60" s="638"/>
      <c r="K60" s="708"/>
      <c r="L60" s="2"/>
      <c r="M60" s="719" t="s">
        <v>179</v>
      </c>
      <c r="N60" s="701"/>
      <c r="O60" s="638"/>
      <c r="P60" s="638"/>
      <c r="Q60" s="708"/>
    </row>
    <row r="61" spans="1:17" ht="12" customHeight="1" x14ac:dyDescent="0.25">
      <c r="A61" s="719" t="s">
        <v>180</v>
      </c>
      <c r="B61" s="701"/>
      <c r="C61" s="638"/>
      <c r="D61" s="638"/>
      <c r="E61" s="708"/>
      <c r="F61" s="2"/>
      <c r="G61" s="719" t="s">
        <v>180</v>
      </c>
      <c r="H61" s="701"/>
      <c r="I61" s="638"/>
      <c r="J61" s="638"/>
      <c r="K61" s="708"/>
      <c r="L61" s="2"/>
      <c r="M61" s="719" t="s">
        <v>180</v>
      </c>
      <c r="N61" s="701"/>
      <c r="O61" s="638"/>
      <c r="P61" s="638"/>
      <c r="Q61" s="708"/>
    </row>
    <row r="62" spans="1:17" ht="12" customHeight="1" thickBot="1" x14ac:dyDescent="0.3">
      <c r="A62" s="45" t="s">
        <v>103</v>
      </c>
      <c r="B62" s="714"/>
      <c r="C62" s="714"/>
      <c r="D62" s="714"/>
      <c r="E62" s="777"/>
      <c r="F62" s="2"/>
      <c r="G62" s="45" t="s">
        <v>103</v>
      </c>
      <c r="H62" s="714"/>
      <c r="I62" s="714"/>
      <c r="J62" s="714"/>
      <c r="K62" s="777"/>
      <c r="L62" s="2"/>
      <c r="M62" s="45" t="s">
        <v>103</v>
      </c>
      <c r="N62" s="714"/>
      <c r="O62" s="714"/>
      <c r="P62" s="714"/>
      <c r="Q62" s="777"/>
    </row>
    <row r="63" spans="1:17" ht="3.75" customHeight="1" thickBot="1" x14ac:dyDescent="0.3">
      <c r="A63" s="1"/>
      <c r="B63" s="12"/>
      <c r="C63" s="12"/>
      <c r="D63" s="12"/>
      <c r="E63" s="12"/>
      <c r="F63" s="12"/>
      <c r="G63" s="1"/>
      <c r="H63" s="12"/>
      <c r="I63" s="12"/>
      <c r="J63" s="12"/>
      <c r="K63" s="12"/>
      <c r="L63" s="12"/>
      <c r="M63" s="1"/>
      <c r="N63" s="12"/>
      <c r="O63" s="12"/>
      <c r="P63" s="12"/>
      <c r="Q63" s="12"/>
    </row>
    <row r="64" spans="1:17" ht="18.75" customHeight="1" thickBot="1" x14ac:dyDescent="0.35">
      <c r="A64" s="880" t="s">
        <v>1</v>
      </c>
      <c r="B64" s="881"/>
      <c r="C64" s="881"/>
      <c r="D64" s="881"/>
      <c r="E64" s="881"/>
      <c r="F64" s="881"/>
      <c r="G64" s="881"/>
      <c r="H64" s="881"/>
      <c r="I64" s="881"/>
      <c r="J64" s="881"/>
      <c r="K64" s="881"/>
      <c r="L64" s="881"/>
      <c r="M64" s="881"/>
      <c r="N64" s="881"/>
      <c r="O64" s="881"/>
      <c r="P64" s="881"/>
      <c r="Q64" s="882"/>
    </row>
    <row r="65" spans="1:17" ht="3.75" customHeight="1" thickBot="1" x14ac:dyDescent="0.3">
      <c r="A65" s="1"/>
      <c r="B65" s="12"/>
      <c r="C65" s="12"/>
      <c r="D65" s="12"/>
      <c r="E65" s="12"/>
      <c r="F65" s="12"/>
      <c r="G65" s="1"/>
      <c r="H65" s="12"/>
      <c r="I65" s="12"/>
      <c r="J65" s="12"/>
      <c r="K65" s="12"/>
      <c r="L65" s="12"/>
      <c r="M65" s="1"/>
      <c r="N65" s="12"/>
      <c r="O65" s="12"/>
      <c r="P65" s="12"/>
      <c r="Q65" s="12"/>
    </row>
    <row r="66" spans="1:17" ht="15.75" thickBot="1" x14ac:dyDescent="0.3">
      <c r="A66" s="749" t="s">
        <v>175</v>
      </c>
      <c r="B66" s="879"/>
      <c r="C66" s="879"/>
      <c r="D66" s="879"/>
      <c r="E66" s="879"/>
      <c r="F66" s="879"/>
      <c r="G66" s="879"/>
      <c r="H66" s="879"/>
      <c r="I66" s="879"/>
      <c r="J66" s="879"/>
      <c r="K66" s="879"/>
      <c r="L66" s="879"/>
      <c r="M66" s="879"/>
      <c r="N66" s="879"/>
      <c r="O66" s="879"/>
      <c r="P66" s="879"/>
      <c r="Q66" s="750"/>
    </row>
    <row r="67" spans="1:17" ht="3.75" customHeight="1" thickBot="1" x14ac:dyDescent="0.3">
      <c r="A67" s="1"/>
      <c r="B67" s="12"/>
      <c r="C67" s="12"/>
      <c r="D67" s="12"/>
      <c r="E67" s="12"/>
      <c r="F67" s="12"/>
      <c r="G67" s="1"/>
      <c r="H67" s="12"/>
      <c r="I67" s="12"/>
      <c r="J67" s="12"/>
      <c r="K67" s="12"/>
      <c r="L67" s="12"/>
      <c r="M67" s="1"/>
      <c r="N67" s="12"/>
      <c r="O67" s="12"/>
      <c r="P67" s="12"/>
      <c r="Q67" s="12"/>
    </row>
    <row r="68" spans="1:17" ht="12.75" customHeight="1" x14ac:dyDescent="0.25">
      <c r="A68" s="835" t="s">
        <v>5</v>
      </c>
      <c r="B68" s="673"/>
      <c r="C68" s="784"/>
      <c r="D68" s="784"/>
      <c r="E68" s="785"/>
      <c r="F68" s="2"/>
      <c r="G68" s="835" t="s">
        <v>5</v>
      </c>
      <c r="H68" s="673"/>
      <c r="I68" s="784"/>
      <c r="J68" s="784"/>
      <c r="K68" s="785"/>
      <c r="L68" s="2"/>
      <c r="M68" s="835" t="s">
        <v>5</v>
      </c>
      <c r="N68" s="673"/>
      <c r="O68" s="784"/>
      <c r="P68" s="784"/>
      <c r="Q68" s="785"/>
    </row>
    <row r="69" spans="1:17" ht="12.75" customHeight="1" x14ac:dyDescent="0.25">
      <c r="A69" s="719" t="s">
        <v>176</v>
      </c>
      <c r="B69" s="701"/>
      <c r="C69" s="638"/>
      <c r="D69" s="638"/>
      <c r="E69" s="708"/>
      <c r="F69" s="2"/>
      <c r="G69" s="719" t="s">
        <v>176</v>
      </c>
      <c r="H69" s="701"/>
      <c r="I69" s="638"/>
      <c r="J69" s="638"/>
      <c r="K69" s="708"/>
      <c r="L69" s="2"/>
      <c r="M69" s="719" t="s">
        <v>176</v>
      </c>
      <c r="N69" s="701"/>
      <c r="O69" s="638"/>
      <c r="P69" s="638"/>
      <c r="Q69" s="708"/>
    </row>
    <row r="70" spans="1:17" ht="12.75" customHeight="1" x14ac:dyDescent="0.25">
      <c r="A70" s="719" t="s">
        <v>177</v>
      </c>
      <c r="B70" s="701"/>
      <c r="C70" s="638"/>
      <c r="D70" s="638"/>
      <c r="E70" s="708"/>
      <c r="F70" s="2"/>
      <c r="G70" s="719" t="s">
        <v>177</v>
      </c>
      <c r="H70" s="701"/>
      <c r="I70" s="638"/>
      <c r="J70" s="638"/>
      <c r="K70" s="708"/>
      <c r="L70" s="2"/>
      <c r="M70" s="719" t="s">
        <v>177</v>
      </c>
      <c r="N70" s="701"/>
      <c r="O70" s="638"/>
      <c r="P70" s="638"/>
      <c r="Q70" s="708"/>
    </row>
    <row r="71" spans="1:17" ht="12.75" customHeight="1" x14ac:dyDescent="0.25">
      <c r="A71" s="719" t="s">
        <v>178</v>
      </c>
      <c r="B71" s="701"/>
      <c r="C71" s="638"/>
      <c r="D71" s="638"/>
      <c r="E71" s="708"/>
      <c r="F71" s="2"/>
      <c r="G71" s="719" t="s">
        <v>178</v>
      </c>
      <c r="H71" s="701"/>
      <c r="I71" s="638"/>
      <c r="J71" s="638"/>
      <c r="K71" s="708"/>
      <c r="L71" s="2"/>
      <c r="M71" s="719" t="s">
        <v>178</v>
      </c>
      <c r="N71" s="701"/>
      <c r="O71" s="638"/>
      <c r="P71" s="638"/>
      <c r="Q71" s="708"/>
    </row>
    <row r="72" spans="1:17" ht="12.75" customHeight="1" x14ac:dyDescent="0.25">
      <c r="A72" s="719" t="s">
        <v>179</v>
      </c>
      <c r="B72" s="701"/>
      <c r="C72" s="638"/>
      <c r="D72" s="638"/>
      <c r="E72" s="708"/>
      <c r="F72" s="2"/>
      <c r="G72" s="719" t="s">
        <v>179</v>
      </c>
      <c r="H72" s="701"/>
      <c r="I72" s="638"/>
      <c r="J72" s="638"/>
      <c r="K72" s="708"/>
      <c r="L72" s="2"/>
      <c r="M72" s="719" t="s">
        <v>179</v>
      </c>
      <c r="N72" s="701"/>
      <c r="O72" s="638"/>
      <c r="P72" s="638"/>
      <c r="Q72" s="708"/>
    </row>
    <row r="73" spans="1:17" ht="12.75" customHeight="1" x14ac:dyDescent="0.25">
      <c r="A73" s="719" t="s">
        <v>180</v>
      </c>
      <c r="B73" s="701"/>
      <c r="C73" s="638"/>
      <c r="D73" s="638"/>
      <c r="E73" s="708"/>
      <c r="F73" s="2"/>
      <c r="G73" s="719" t="s">
        <v>180</v>
      </c>
      <c r="H73" s="701"/>
      <c r="I73" s="638"/>
      <c r="J73" s="638"/>
      <c r="K73" s="708"/>
      <c r="L73" s="2"/>
      <c r="M73" s="719" t="s">
        <v>180</v>
      </c>
      <c r="N73" s="701"/>
      <c r="O73" s="638"/>
      <c r="P73" s="638"/>
      <c r="Q73" s="708"/>
    </row>
    <row r="74" spans="1:17" ht="12.75" customHeight="1" thickBot="1" x14ac:dyDescent="0.3">
      <c r="A74" s="45" t="s">
        <v>103</v>
      </c>
      <c r="B74" s="714"/>
      <c r="C74" s="714"/>
      <c r="D74" s="714"/>
      <c r="E74" s="777"/>
      <c r="F74" s="2"/>
      <c r="G74" s="45" t="s">
        <v>103</v>
      </c>
      <c r="H74" s="714"/>
      <c r="I74" s="714"/>
      <c r="J74" s="714"/>
      <c r="K74" s="777"/>
      <c r="L74" s="2"/>
      <c r="M74" s="45" t="s">
        <v>103</v>
      </c>
      <c r="N74" s="714"/>
      <c r="O74" s="714"/>
      <c r="P74" s="714"/>
      <c r="Q74" s="777"/>
    </row>
    <row r="75" spans="1:17" ht="3.75" customHeight="1" thickBot="1" x14ac:dyDescent="0.3">
      <c r="A75" s="2"/>
      <c r="B75" s="2"/>
      <c r="C75" s="2"/>
      <c r="D75" s="2"/>
      <c r="E75" s="2"/>
      <c r="F75" s="2"/>
      <c r="G75" s="2"/>
      <c r="H75" s="2"/>
      <c r="I75" s="2"/>
      <c r="J75" s="2"/>
      <c r="K75" s="2"/>
      <c r="L75" s="2"/>
      <c r="M75" s="2"/>
      <c r="N75" s="2"/>
      <c r="O75" s="2"/>
      <c r="P75" s="2"/>
      <c r="Q75" s="2"/>
    </row>
    <row r="76" spans="1:17" ht="12.75" customHeight="1" x14ac:dyDescent="0.25">
      <c r="A76" s="835" t="s">
        <v>5</v>
      </c>
      <c r="B76" s="673"/>
      <c r="C76" s="784"/>
      <c r="D76" s="784"/>
      <c r="E76" s="785"/>
      <c r="F76" s="2"/>
      <c r="G76" s="835" t="s">
        <v>5</v>
      </c>
      <c r="H76" s="673"/>
      <c r="I76" s="784"/>
      <c r="J76" s="784"/>
      <c r="K76" s="785"/>
      <c r="L76" s="2"/>
      <c r="M76" s="835" t="s">
        <v>5</v>
      </c>
      <c r="N76" s="673"/>
      <c r="O76" s="784"/>
      <c r="P76" s="784"/>
      <c r="Q76" s="785"/>
    </row>
    <row r="77" spans="1:17" ht="12.75" customHeight="1" x14ac:dyDescent="0.25">
      <c r="A77" s="719" t="s">
        <v>176</v>
      </c>
      <c r="B77" s="701"/>
      <c r="C77" s="638"/>
      <c r="D77" s="638"/>
      <c r="E77" s="708"/>
      <c r="F77" s="2"/>
      <c r="G77" s="719" t="s">
        <v>176</v>
      </c>
      <c r="H77" s="701"/>
      <c r="I77" s="638"/>
      <c r="J77" s="638"/>
      <c r="K77" s="708"/>
      <c r="L77" s="2"/>
      <c r="M77" s="719" t="s">
        <v>176</v>
      </c>
      <c r="N77" s="701"/>
      <c r="O77" s="638"/>
      <c r="P77" s="638"/>
      <c r="Q77" s="708"/>
    </row>
    <row r="78" spans="1:17" ht="12.75" customHeight="1" x14ac:dyDescent="0.25">
      <c r="A78" s="719" t="s">
        <v>177</v>
      </c>
      <c r="B78" s="701"/>
      <c r="C78" s="638"/>
      <c r="D78" s="638"/>
      <c r="E78" s="708"/>
      <c r="F78" s="2"/>
      <c r="G78" s="719" t="s">
        <v>177</v>
      </c>
      <c r="H78" s="701"/>
      <c r="I78" s="638"/>
      <c r="J78" s="638"/>
      <c r="K78" s="708"/>
      <c r="L78" s="2"/>
      <c r="M78" s="719" t="s">
        <v>177</v>
      </c>
      <c r="N78" s="701"/>
      <c r="O78" s="638"/>
      <c r="P78" s="638"/>
      <c r="Q78" s="708"/>
    </row>
    <row r="79" spans="1:17" ht="12.75" customHeight="1" x14ac:dyDescent="0.25">
      <c r="A79" s="719" t="s">
        <v>178</v>
      </c>
      <c r="B79" s="701"/>
      <c r="C79" s="638"/>
      <c r="D79" s="638"/>
      <c r="E79" s="708"/>
      <c r="F79" s="2"/>
      <c r="G79" s="719" t="s">
        <v>178</v>
      </c>
      <c r="H79" s="701"/>
      <c r="I79" s="638"/>
      <c r="J79" s="638"/>
      <c r="K79" s="708"/>
      <c r="L79" s="2"/>
      <c r="M79" s="719" t="s">
        <v>178</v>
      </c>
      <c r="N79" s="701"/>
      <c r="O79" s="638"/>
      <c r="P79" s="638"/>
      <c r="Q79" s="708"/>
    </row>
    <row r="80" spans="1:17" ht="12.75" customHeight="1" x14ac:dyDescent="0.25">
      <c r="A80" s="719" t="s">
        <v>179</v>
      </c>
      <c r="B80" s="701"/>
      <c r="C80" s="638"/>
      <c r="D80" s="638"/>
      <c r="E80" s="708"/>
      <c r="F80" s="2"/>
      <c r="G80" s="719" t="s">
        <v>179</v>
      </c>
      <c r="H80" s="701"/>
      <c r="I80" s="638"/>
      <c r="J80" s="638"/>
      <c r="K80" s="708"/>
      <c r="L80" s="2"/>
      <c r="M80" s="719" t="s">
        <v>179</v>
      </c>
      <c r="N80" s="701"/>
      <c r="O80" s="638"/>
      <c r="P80" s="638"/>
      <c r="Q80" s="708"/>
    </row>
    <row r="81" spans="1:17" ht="12.75" customHeight="1" x14ac:dyDescent="0.25">
      <c r="A81" s="719" t="s">
        <v>180</v>
      </c>
      <c r="B81" s="701"/>
      <c r="C81" s="638"/>
      <c r="D81" s="638"/>
      <c r="E81" s="708"/>
      <c r="F81" s="2"/>
      <c r="G81" s="719" t="s">
        <v>180</v>
      </c>
      <c r="H81" s="701"/>
      <c r="I81" s="638"/>
      <c r="J81" s="638"/>
      <c r="K81" s="708"/>
      <c r="L81" s="2"/>
      <c r="M81" s="719" t="s">
        <v>180</v>
      </c>
      <c r="N81" s="701"/>
      <c r="O81" s="638"/>
      <c r="P81" s="638"/>
      <c r="Q81" s="708"/>
    </row>
    <row r="82" spans="1:17" ht="12.75" customHeight="1" thickBot="1" x14ac:dyDescent="0.3">
      <c r="A82" s="45" t="s">
        <v>103</v>
      </c>
      <c r="B82" s="714"/>
      <c r="C82" s="714"/>
      <c r="D82" s="714"/>
      <c r="E82" s="777"/>
      <c r="F82" s="2"/>
      <c r="G82" s="45" t="s">
        <v>103</v>
      </c>
      <c r="H82" s="714"/>
      <c r="I82" s="714"/>
      <c r="J82" s="714"/>
      <c r="K82" s="777"/>
      <c r="L82" s="2"/>
      <c r="M82" s="45" t="s">
        <v>103</v>
      </c>
      <c r="N82" s="714"/>
      <c r="O82" s="714"/>
      <c r="P82" s="714"/>
      <c r="Q82" s="777"/>
    </row>
    <row r="83" spans="1:17" ht="3.75" customHeight="1" thickBot="1" x14ac:dyDescent="0.3">
      <c r="A83" s="2"/>
      <c r="B83" s="2"/>
      <c r="C83" s="2"/>
      <c r="D83" s="2"/>
      <c r="E83" s="2"/>
      <c r="F83" s="2"/>
      <c r="G83" s="2"/>
      <c r="H83" s="2"/>
      <c r="I83" s="2"/>
      <c r="J83" s="2"/>
      <c r="K83" s="2"/>
      <c r="L83" s="2"/>
      <c r="M83" s="2"/>
      <c r="N83" s="2"/>
      <c r="O83" s="2"/>
      <c r="P83" s="2"/>
      <c r="Q83" s="2"/>
    </row>
    <row r="84" spans="1:17" ht="12.75" customHeight="1" x14ac:dyDescent="0.25">
      <c r="A84" s="835" t="s">
        <v>5</v>
      </c>
      <c r="B84" s="673"/>
      <c r="C84" s="784"/>
      <c r="D84" s="784"/>
      <c r="E84" s="785"/>
      <c r="F84" s="2"/>
      <c r="G84" s="835" t="s">
        <v>5</v>
      </c>
      <c r="H84" s="673"/>
      <c r="I84" s="784"/>
      <c r="J84" s="784"/>
      <c r="K84" s="785"/>
      <c r="L84" s="2"/>
      <c r="M84" s="835" t="s">
        <v>5</v>
      </c>
      <c r="N84" s="673"/>
      <c r="O84" s="784"/>
      <c r="P84" s="784"/>
      <c r="Q84" s="785"/>
    </row>
    <row r="85" spans="1:17" ht="12.75" customHeight="1" x14ac:dyDescent="0.25">
      <c r="A85" s="719" t="s">
        <v>176</v>
      </c>
      <c r="B85" s="701"/>
      <c r="C85" s="638"/>
      <c r="D85" s="638"/>
      <c r="E85" s="708"/>
      <c r="F85" s="2"/>
      <c r="G85" s="719" t="s">
        <v>176</v>
      </c>
      <c r="H85" s="701"/>
      <c r="I85" s="638"/>
      <c r="J85" s="638"/>
      <c r="K85" s="708"/>
      <c r="L85" s="2"/>
      <c r="M85" s="719" t="s">
        <v>176</v>
      </c>
      <c r="N85" s="701"/>
      <c r="O85" s="638"/>
      <c r="P85" s="638"/>
      <c r="Q85" s="708"/>
    </row>
    <row r="86" spans="1:17" ht="12.75" customHeight="1" x14ac:dyDescent="0.25">
      <c r="A86" s="719" t="s">
        <v>177</v>
      </c>
      <c r="B86" s="701"/>
      <c r="C86" s="638"/>
      <c r="D86" s="638"/>
      <c r="E86" s="708"/>
      <c r="F86" s="2"/>
      <c r="G86" s="719" t="s">
        <v>177</v>
      </c>
      <c r="H86" s="701"/>
      <c r="I86" s="638"/>
      <c r="J86" s="638"/>
      <c r="K86" s="708"/>
      <c r="L86" s="2"/>
      <c r="M86" s="719" t="s">
        <v>177</v>
      </c>
      <c r="N86" s="701"/>
      <c r="O86" s="638"/>
      <c r="P86" s="638"/>
      <c r="Q86" s="708"/>
    </row>
    <row r="87" spans="1:17" ht="12.75" customHeight="1" x14ac:dyDescent="0.25">
      <c r="A87" s="719" t="s">
        <v>178</v>
      </c>
      <c r="B87" s="701"/>
      <c r="C87" s="638"/>
      <c r="D87" s="638"/>
      <c r="E87" s="708"/>
      <c r="F87" s="2"/>
      <c r="G87" s="719" t="s">
        <v>178</v>
      </c>
      <c r="H87" s="701"/>
      <c r="I87" s="638"/>
      <c r="J87" s="638"/>
      <c r="K87" s="708"/>
      <c r="L87" s="2"/>
      <c r="M87" s="719" t="s">
        <v>178</v>
      </c>
      <c r="N87" s="701"/>
      <c r="O87" s="638"/>
      <c r="P87" s="638"/>
      <c r="Q87" s="708"/>
    </row>
    <row r="88" spans="1:17" ht="12.75" customHeight="1" x14ac:dyDescent="0.25">
      <c r="A88" s="719" t="s">
        <v>179</v>
      </c>
      <c r="B88" s="701"/>
      <c r="C88" s="638"/>
      <c r="D88" s="638"/>
      <c r="E88" s="708"/>
      <c r="F88" s="2"/>
      <c r="G88" s="719" t="s">
        <v>179</v>
      </c>
      <c r="H88" s="701"/>
      <c r="I88" s="638"/>
      <c r="J88" s="638"/>
      <c r="K88" s="708"/>
      <c r="L88" s="2"/>
      <c r="M88" s="719" t="s">
        <v>179</v>
      </c>
      <c r="N88" s="701"/>
      <c r="O88" s="638"/>
      <c r="P88" s="638"/>
      <c r="Q88" s="708"/>
    </row>
    <row r="89" spans="1:17" ht="12.75" customHeight="1" x14ac:dyDescent="0.25">
      <c r="A89" s="719" t="s">
        <v>180</v>
      </c>
      <c r="B89" s="701"/>
      <c r="C89" s="638"/>
      <c r="D89" s="638"/>
      <c r="E89" s="708"/>
      <c r="F89" s="2"/>
      <c r="G89" s="719" t="s">
        <v>180</v>
      </c>
      <c r="H89" s="701"/>
      <c r="I89" s="638"/>
      <c r="J89" s="638"/>
      <c r="K89" s="708"/>
      <c r="L89" s="2"/>
      <c r="M89" s="719" t="s">
        <v>180</v>
      </c>
      <c r="N89" s="701"/>
      <c r="O89" s="638"/>
      <c r="P89" s="638"/>
      <c r="Q89" s="708"/>
    </row>
    <row r="90" spans="1:17" ht="12.75" customHeight="1" thickBot="1" x14ac:dyDescent="0.3">
      <c r="A90" s="45" t="s">
        <v>103</v>
      </c>
      <c r="B90" s="714"/>
      <c r="C90" s="714"/>
      <c r="D90" s="714"/>
      <c r="E90" s="777"/>
      <c r="F90" s="2"/>
      <c r="G90" s="45" t="s">
        <v>103</v>
      </c>
      <c r="H90" s="714"/>
      <c r="I90" s="714"/>
      <c r="J90" s="714"/>
      <c r="K90" s="777"/>
      <c r="L90" s="2"/>
      <c r="M90" s="45" t="s">
        <v>103</v>
      </c>
      <c r="N90" s="714"/>
      <c r="O90" s="714"/>
      <c r="P90" s="714"/>
      <c r="Q90" s="777"/>
    </row>
    <row r="91" spans="1:17" ht="3.75" customHeight="1" thickBot="1" x14ac:dyDescent="0.3">
      <c r="A91" s="2"/>
      <c r="B91" s="2"/>
      <c r="C91" s="2"/>
      <c r="D91" s="2"/>
      <c r="E91" s="2"/>
      <c r="F91" s="2"/>
      <c r="G91" s="2"/>
      <c r="H91" s="2"/>
      <c r="I91" s="2"/>
      <c r="J91" s="2"/>
      <c r="K91" s="2"/>
      <c r="L91" s="2"/>
      <c r="M91" s="2"/>
      <c r="N91" s="2"/>
      <c r="O91" s="2"/>
      <c r="P91" s="2"/>
      <c r="Q91" s="2"/>
    </row>
    <row r="92" spans="1:17" ht="12.75" customHeight="1" x14ac:dyDescent="0.25">
      <c r="A92" s="835" t="s">
        <v>5</v>
      </c>
      <c r="B92" s="673"/>
      <c r="C92" s="784"/>
      <c r="D92" s="784"/>
      <c r="E92" s="785"/>
      <c r="F92" s="2"/>
      <c r="G92" s="835" t="s">
        <v>5</v>
      </c>
      <c r="H92" s="673"/>
      <c r="I92" s="784"/>
      <c r="J92" s="784"/>
      <c r="K92" s="785"/>
      <c r="L92" s="2"/>
      <c r="M92" s="835" t="s">
        <v>5</v>
      </c>
      <c r="N92" s="673"/>
      <c r="O92" s="784"/>
      <c r="P92" s="784"/>
      <c r="Q92" s="785"/>
    </row>
    <row r="93" spans="1:17" ht="12.75" customHeight="1" x14ac:dyDescent="0.25">
      <c r="A93" s="719" t="s">
        <v>176</v>
      </c>
      <c r="B93" s="701"/>
      <c r="C93" s="638"/>
      <c r="D93" s="638"/>
      <c r="E93" s="708"/>
      <c r="F93" s="2"/>
      <c r="G93" s="719" t="s">
        <v>176</v>
      </c>
      <c r="H93" s="701"/>
      <c r="I93" s="638"/>
      <c r="J93" s="638"/>
      <c r="K93" s="708"/>
      <c r="L93" s="2"/>
      <c r="M93" s="719" t="s">
        <v>176</v>
      </c>
      <c r="N93" s="701"/>
      <c r="O93" s="638"/>
      <c r="P93" s="638"/>
      <c r="Q93" s="708"/>
    </row>
    <row r="94" spans="1:17" ht="12.75" customHeight="1" x14ac:dyDescent="0.25">
      <c r="A94" s="719" t="s">
        <v>177</v>
      </c>
      <c r="B94" s="701"/>
      <c r="C94" s="638"/>
      <c r="D94" s="638"/>
      <c r="E94" s="708"/>
      <c r="F94" s="2"/>
      <c r="G94" s="719" t="s">
        <v>177</v>
      </c>
      <c r="H94" s="701"/>
      <c r="I94" s="638"/>
      <c r="J94" s="638"/>
      <c r="K94" s="708"/>
      <c r="L94" s="2"/>
      <c r="M94" s="719" t="s">
        <v>177</v>
      </c>
      <c r="N94" s="701"/>
      <c r="O94" s="638"/>
      <c r="P94" s="638"/>
      <c r="Q94" s="708"/>
    </row>
    <row r="95" spans="1:17" ht="12.75" customHeight="1" x14ac:dyDescent="0.25">
      <c r="A95" s="719" t="s">
        <v>178</v>
      </c>
      <c r="B95" s="701"/>
      <c r="C95" s="638"/>
      <c r="D95" s="638"/>
      <c r="E95" s="708"/>
      <c r="F95" s="2"/>
      <c r="G95" s="719" t="s">
        <v>178</v>
      </c>
      <c r="H95" s="701"/>
      <c r="I95" s="638"/>
      <c r="J95" s="638"/>
      <c r="K95" s="708"/>
      <c r="L95" s="2"/>
      <c r="M95" s="719" t="s">
        <v>178</v>
      </c>
      <c r="N95" s="701"/>
      <c r="O95" s="638"/>
      <c r="P95" s="638"/>
      <c r="Q95" s="708"/>
    </row>
    <row r="96" spans="1:17" ht="12.75" customHeight="1" x14ac:dyDescent="0.25">
      <c r="A96" s="719" t="s">
        <v>179</v>
      </c>
      <c r="B96" s="701"/>
      <c r="C96" s="638"/>
      <c r="D96" s="638"/>
      <c r="E96" s="708"/>
      <c r="F96" s="2"/>
      <c r="G96" s="719" t="s">
        <v>179</v>
      </c>
      <c r="H96" s="701"/>
      <c r="I96" s="638"/>
      <c r="J96" s="638"/>
      <c r="K96" s="708"/>
      <c r="L96" s="2"/>
      <c r="M96" s="719" t="s">
        <v>179</v>
      </c>
      <c r="N96" s="701"/>
      <c r="O96" s="638"/>
      <c r="P96" s="638"/>
      <c r="Q96" s="708"/>
    </row>
    <row r="97" spans="1:17" ht="12.75" customHeight="1" x14ac:dyDescent="0.25">
      <c r="A97" s="719" t="s">
        <v>180</v>
      </c>
      <c r="B97" s="701"/>
      <c r="C97" s="638"/>
      <c r="D97" s="638"/>
      <c r="E97" s="708"/>
      <c r="F97" s="2"/>
      <c r="G97" s="719" t="s">
        <v>180</v>
      </c>
      <c r="H97" s="701"/>
      <c r="I97" s="638"/>
      <c r="J97" s="638"/>
      <c r="K97" s="708"/>
      <c r="L97" s="2"/>
      <c r="M97" s="719" t="s">
        <v>180</v>
      </c>
      <c r="N97" s="701"/>
      <c r="O97" s="638"/>
      <c r="P97" s="638"/>
      <c r="Q97" s="708"/>
    </row>
    <row r="98" spans="1:17" ht="12.75" customHeight="1" thickBot="1" x14ac:dyDescent="0.3">
      <c r="A98" s="45" t="s">
        <v>103</v>
      </c>
      <c r="B98" s="714"/>
      <c r="C98" s="714"/>
      <c r="D98" s="714"/>
      <c r="E98" s="777"/>
      <c r="F98" s="2"/>
      <c r="G98" s="45" t="s">
        <v>103</v>
      </c>
      <c r="H98" s="714"/>
      <c r="I98" s="714"/>
      <c r="J98" s="714"/>
      <c r="K98" s="777"/>
      <c r="L98" s="2"/>
      <c r="M98" s="45" t="s">
        <v>103</v>
      </c>
      <c r="N98" s="714"/>
      <c r="O98" s="714"/>
      <c r="P98" s="714"/>
      <c r="Q98" s="777"/>
    </row>
    <row r="99" spans="1:17" ht="3.75" customHeight="1" thickBot="1" x14ac:dyDescent="0.3">
      <c r="A99" s="2"/>
      <c r="B99" s="2"/>
      <c r="C99" s="2"/>
      <c r="D99" s="2"/>
      <c r="E99" s="2"/>
      <c r="F99" s="2"/>
      <c r="G99" s="2"/>
      <c r="H99" s="2"/>
      <c r="I99" s="2"/>
      <c r="J99" s="2"/>
      <c r="K99" s="2"/>
      <c r="L99" s="2"/>
      <c r="M99" s="2"/>
      <c r="N99" s="2"/>
      <c r="O99" s="2"/>
      <c r="P99" s="2"/>
      <c r="Q99" s="2"/>
    </row>
    <row r="100" spans="1:17" ht="12.75" customHeight="1" x14ac:dyDescent="0.25">
      <c r="A100" s="835" t="s">
        <v>5</v>
      </c>
      <c r="B100" s="673"/>
      <c r="C100" s="784"/>
      <c r="D100" s="784"/>
      <c r="E100" s="785"/>
      <c r="F100" s="2"/>
      <c r="G100" s="835" t="s">
        <v>5</v>
      </c>
      <c r="H100" s="673"/>
      <c r="I100" s="784"/>
      <c r="J100" s="784"/>
      <c r="K100" s="785"/>
      <c r="L100" s="2"/>
      <c r="M100" s="835" t="s">
        <v>5</v>
      </c>
      <c r="N100" s="673"/>
      <c r="O100" s="784"/>
      <c r="P100" s="784"/>
      <c r="Q100" s="785"/>
    </row>
    <row r="101" spans="1:17" ht="12.75" customHeight="1" x14ac:dyDescent="0.25">
      <c r="A101" s="719" t="s">
        <v>176</v>
      </c>
      <c r="B101" s="701"/>
      <c r="C101" s="638"/>
      <c r="D101" s="638"/>
      <c r="E101" s="708"/>
      <c r="F101" s="2"/>
      <c r="G101" s="719" t="s">
        <v>176</v>
      </c>
      <c r="H101" s="701"/>
      <c r="I101" s="638"/>
      <c r="J101" s="638"/>
      <c r="K101" s="708"/>
      <c r="L101" s="2"/>
      <c r="M101" s="719" t="s">
        <v>176</v>
      </c>
      <c r="N101" s="701"/>
      <c r="O101" s="638"/>
      <c r="P101" s="638"/>
      <c r="Q101" s="708"/>
    </row>
    <row r="102" spans="1:17" ht="12.75" customHeight="1" x14ac:dyDescent="0.25">
      <c r="A102" s="719" t="s">
        <v>177</v>
      </c>
      <c r="B102" s="701"/>
      <c r="C102" s="638"/>
      <c r="D102" s="638"/>
      <c r="E102" s="708"/>
      <c r="F102" s="2"/>
      <c r="G102" s="719" t="s">
        <v>177</v>
      </c>
      <c r="H102" s="701"/>
      <c r="I102" s="638"/>
      <c r="J102" s="638"/>
      <c r="K102" s="708"/>
      <c r="L102" s="2"/>
      <c r="M102" s="719" t="s">
        <v>177</v>
      </c>
      <c r="N102" s="701"/>
      <c r="O102" s="638"/>
      <c r="P102" s="638"/>
      <c r="Q102" s="708"/>
    </row>
    <row r="103" spans="1:17" ht="12.75" customHeight="1" x14ac:dyDescent="0.25">
      <c r="A103" s="719" t="s">
        <v>178</v>
      </c>
      <c r="B103" s="701"/>
      <c r="C103" s="638"/>
      <c r="D103" s="638"/>
      <c r="E103" s="708"/>
      <c r="F103" s="2"/>
      <c r="G103" s="719" t="s">
        <v>178</v>
      </c>
      <c r="H103" s="701"/>
      <c r="I103" s="638"/>
      <c r="J103" s="638"/>
      <c r="K103" s="708"/>
      <c r="L103" s="2"/>
      <c r="M103" s="719" t="s">
        <v>178</v>
      </c>
      <c r="N103" s="701"/>
      <c r="O103" s="638"/>
      <c r="P103" s="638"/>
      <c r="Q103" s="708"/>
    </row>
    <row r="104" spans="1:17" ht="12.75" customHeight="1" x14ac:dyDescent="0.25">
      <c r="A104" s="719" t="s">
        <v>179</v>
      </c>
      <c r="B104" s="701"/>
      <c r="C104" s="638"/>
      <c r="D104" s="638"/>
      <c r="E104" s="708"/>
      <c r="F104" s="2"/>
      <c r="G104" s="719" t="s">
        <v>179</v>
      </c>
      <c r="H104" s="701"/>
      <c r="I104" s="638"/>
      <c r="J104" s="638"/>
      <c r="K104" s="708"/>
      <c r="L104" s="2"/>
      <c r="M104" s="719" t="s">
        <v>179</v>
      </c>
      <c r="N104" s="701"/>
      <c r="O104" s="638"/>
      <c r="P104" s="638"/>
      <c r="Q104" s="708"/>
    </row>
    <row r="105" spans="1:17" ht="12.75" customHeight="1" x14ac:dyDescent="0.25">
      <c r="A105" s="719" t="s">
        <v>180</v>
      </c>
      <c r="B105" s="701"/>
      <c r="C105" s="638"/>
      <c r="D105" s="638"/>
      <c r="E105" s="708"/>
      <c r="F105" s="2"/>
      <c r="G105" s="719" t="s">
        <v>180</v>
      </c>
      <c r="H105" s="701"/>
      <c r="I105" s="638"/>
      <c r="J105" s="638"/>
      <c r="K105" s="708"/>
      <c r="L105" s="2"/>
      <c r="M105" s="719" t="s">
        <v>180</v>
      </c>
      <c r="N105" s="701"/>
      <c r="O105" s="638"/>
      <c r="P105" s="638"/>
      <c r="Q105" s="708"/>
    </row>
    <row r="106" spans="1:17" ht="12.75" customHeight="1" thickBot="1" x14ac:dyDescent="0.3">
      <c r="A106" s="45" t="s">
        <v>103</v>
      </c>
      <c r="B106" s="714"/>
      <c r="C106" s="714"/>
      <c r="D106" s="714"/>
      <c r="E106" s="777"/>
      <c r="F106" s="2"/>
      <c r="G106" s="45" t="s">
        <v>103</v>
      </c>
      <c r="H106" s="714"/>
      <c r="I106" s="714"/>
      <c r="J106" s="714"/>
      <c r="K106" s="777"/>
      <c r="L106" s="2"/>
      <c r="M106" s="45" t="s">
        <v>103</v>
      </c>
      <c r="N106" s="714"/>
      <c r="O106" s="714"/>
      <c r="P106" s="714"/>
      <c r="Q106" s="777"/>
    </row>
    <row r="107" spans="1:17" ht="3.75" customHeight="1" thickBot="1" x14ac:dyDescent="0.3">
      <c r="A107" s="2"/>
      <c r="B107" s="2"/>
      <c r="C107" s="2"/>
      <c r="D107" s="2"/>
      <c r="E107" s="2"/>
      <c r="F107" s="2"/>
      <c r="G107" s="2"/>
      <c r="H107" s="2"/>
      <c r="I107" s="2"/>
      <c r="J107" s="2"/>
      <c r="K107" s="2"/>
      <c r="L107" s="2"/>
      <c r="M107" s="2"/>
      <c r="N107" s="2"/>
      <c r="O107" s="2"/>
      <c r="P107" s="2"/>
      <c r="Q107" s="2"/>
    </row>
    <row r="108" spans="1:17" ht="12.75" customHeight="1" x14ac:dyDescent="0.25">
      <c r="A108" s="835" t="s">
        <v>5</v>
      </c>
      <c r="B108" s="673"/>
      <c r="C108" s="784"/>
      <c r="D108" s="784"/>
      <c r="E108" s="785"/>
      <c r="F108" s="2"/>
      <c r="G108" s="835" t="s">
        <v>5</v>
      </c>
      <c r="H108" s="673"/>
      <c r="I108" s="784"/>
      <c r="J108" s="784"/>
      <c r="K108" s="785"/>
      <c r="L108" s="2"/>
      <c r="M108" s="835" t="s">
        <v>5</v>
      </c>
      <c r="N108" s="673"/>
      <c r="O108" s="784"/>
      <c r="P108" s="784"/>
      <c r="Q108" s="785"/>
    </row>
    <row r="109" spans="1:17" ht="12.75" customHeight="1" x14ac:dyDescent="0.25">
      <c r="A109" s="719" t="s">
        <v>176</v>
      </c>
      <c r="B109" s="701"/>
      <c r="C109" s="638"/>
      <c r="D109" s="638"/>
      <c r="E109" s="708"/>
      <c r="F109" s="2"/>
      <c r="G109" s="719" t="s">
        <v>176</v>
      </c>
      <c r="H109" s="701"/>
      <c r="I109" s="638"/>
      <c r="J109" s="638"/>
      <c r="K109" s="708"/>
      <c r="L109" s="2"/>
      <c r="M109" s="719" t="s">
        <v>176</v>
      </c>
      <c r="N109" s="701"/>
      <c r="O109" s="638"/>
      <c r="P109" s="638"/>
      <c r="Q109" s="708"/>
    </row>
    <row r="110" spans="1:17" ht="12.75" customHeight="1" x14ac:dyDescent="0.25">
      <c r="A110" s="719" t="s">
        <v>177</v>
      </c>
      <c r="B110" s="701"/>
      <c r="C110" s="638"/>
      <c r="D110" s="638"/>
      <c r="E110" s="708"/>
      <c r="F110" s="2"/>
      <c r="G110" s="719" t="s">
        <v>177</v>
      </c>
      <c r="H110" s="701"/>
      <c r="I110" s="638"/>
      <c r="J110" s="638"/>
      <c r="K110" s="708"/>
      <c r="L110" s="2"/>
      <c r="M110" s="719" t="s">
        <v>177</v>
      </c>
      <c r="N110" s="701"/>
      <c r="O110" s="638"/>
      <c r="P110" s="638"/>
      <c r="Q110" s="708"/>
    </row>
    <row r="111" spans="1:17" ht="12.75" customHeight="1" x14ac:dyDescent="0.25">
      <c r="A111" s="719" t="s">
        <v>178</v>
      </c>
      <c r="B111" s="701"/>
      <c r="C111" s="638"/>
      <c r="D111" s="638"/>
      <c r="E111" s="708"/>
      <c r="F111" s="2"/>
      <c r="G111" s="719" t="s">
        <v>178</v>
      </c>
      <c r="H111" s="701"/>
      <c r="I111" s="638"/>
      <c r="J111" s="638"/>
      <c r="K111" s="708"/>
      <c r="L111" s="2"/>
      <c r="M111" s="719" t="s">
        <v>178</v>
      </c>
      <c r="N111" s="701"/>
      <c r="O111" s="638"/>
      <c r="P111" s="638"/>
      <c r="Q111" s="708"/>
    </row>
    <row r="112" spans="1:17" ht="12.75" customHeight="1" x14ac:dyDescent="0.25">
      <c r="A112" s="719" t="s">
        <v>179</v>
      </c>
      <c r="B112" s="701"/>
      <c r="C112" s="638"/>
      <c r="D112" s="638"/>
      <c r="E112" s="708"/>
      <c r="F112" s="2"/>
      <c r="G112" s="719" t="s">
        <v>179</v>
      </c>
      <c r="H112" s="701"/>
      <c r="I112" s="638"/>
      <c r="J112" s="638"/>
      <c r="K112" s="708"/>
      <c r="L112" s="2"/>
      <c r="M112" s="719" t="s">
        <v>179</v>
      </c>
      <c r="N112" s="701"/>
      <c r="O112" s="638"/>
      <c r="P112" s="638"/>
      <c r="Q112" s="708"/>
    </row>
    <row r="113" spans="1:17" ht="12.75" customHeight="1" x14ac:dyDescent="0.25">
      <c r="A113" s="719" t="s">
        <v>180</v>
      </c>
      <c r="B113" s="701"/>
      <c r="C113" s="638"/>
      <c r="D113" s="638"/>
      <c r="E113" s="708"/>
      <c r="F113" s="2"/>
      <c r="G113" s="719" t="s">
        <v>180</v>
      </c>
      <c r="H113" s="701"/>
      <c r="I113" s="638"/>
      <c r="J113" s="638"/>
      <c r="K113" s="708"/>
      <c r="L113" s="2"/>
      <c r="M113" s="719" t="s">
        <v>180</v>
      </c>
      <c r="N113" s="701"/>
      <c r="O113" s="638"/>
      <c r="P113" s="638"/>
      <c r="Q113" s="708"/>
    </row>
    <row r="114" spans="1:17" ht="12.75" customHeight="1" thickBot="1" x14ac:dyDescent="0.3">
      <c r="A114" s="45" t="s">
        <v>103</v>
      </c>
      <c r="B114" s="714"/>
      <c r="C114" s="714"/>
      <c r="D114" s="714"/>
      <c r="E114" s="777"/>
      <c r="F114" s="2"/>
      <c r="G114" s="45" t="s">
        <v>103</v>
      </c>
      <c r="H114" s="714"/>
      <c r="I114" s="714"/>
      <c r="J114" s="714"/>
      <c r="K114" s="777"/>
      <c r="L114" s="2"/>
      <c r="M114" s="45" t="s">
        <v>103</v>
      </c>
      <c r="N114" s="714"/>
      <c r="O114" s="714"/>
      <c r="P114" s="714"/>
      <c r="Q114" s="777"/>
    </row>
    <row r="115" spans="1:17" ht="3.75" customHeight="1" thickBot="1" x14ac:dyDescent="0.3">
      <c r="A115" s="2"/>
      <c r="B115" s="2"/>
      <c r="C115" s="2"/>
      <c r="D115" s="2"/>
      <c r="E115" s="2"/>
      <c r="F115" s="2"/>
      <c r="G115" s="2"/>
      <c r="H115" s="2"/>
      <c r="I115" s="2"/>
      <c r="J115" s="2"/>
      <c r="K115" s="2"/>
      <c r="L115" s="2"/>
      <c r="M115" s="2"/>
      <c r="N115" s="2"/>
      <c r="O115" s="2"/>
      <c r="P115" s="2"/>
      <c r="Q115" s="2"/>
    </row>
    <row r="116" spans="1:17" ht="12.75" customHeight="1" x14ac:dyDescent="0.25">
      <c r="A116" s="835" t="s">
        <v>5</v>
      </c>
      <c r="B116" s="673"/>
      <c r="C116" s="784"/>
      <c r="D116" s="784"/>
      <c r="E116" s="785"/>
      <c r="F116" s="2"/>
      <c r="G116" s="835" t="s">
        <v>5</v>
      </c>
      <c r="H116" s="673"/>
      <c r="I116" s="784"/>
      <c r="J116" s="784"/>
      <c r="K116" s="785"/>
      <c r="L116" s="2"/>
      <c r="M116" s="835" t="s">
        <v>5</v>
      </c>
      <c r="N116" s="673"/>
      <c r="O116" s="784"/>
      <c r="P116" s="784"/>
      <c r="Q116" s="785"/>
    </row>
    <row r="117" spans="1:17" ht="12.75" customHeight="1" x14ac:dyDescent="0.25">
      <c r="A117" s="719" t="s">
        <v>176</v>
      </c>
      <c r="B117" s="701"/>
      <c r="C117" s="638"/>
      <c r="D117" s="638"/>
      <c r="E117" s="708"/>
      <c r="F117" s="2"/>
      <c r="G117" s="719" t="s">
        <v>176</v>
      </c>
      <c r="H117" s="701"/>
      <c r="I117" s="638"/>
      <c r="J117" s="638"/>
      <c r="K117" s="708"/>
      <c r="L117" s="2"/>
      <c r="M117" s="719" t="s">
        <v>176</v>
      </c>
      <c r="N117" s="701"/>
      <c r="O117" s="638"/>
      <c r="P117" s="638"/>
      <c r="Q117" s="708"/>
    </row>
    <row r="118" spans="1:17" ht="12.75" customHeight="1" x14ac:dyDescent="0.25">
      <c r="A118" s="719" t="s">
        <v>177</v>
      </c>
      <c r="B118" s="701"/>
      <c r="C118" s="638"/>
      <c r="D118" s="638"/>
      <c r="E118" s="708"/>
      <c r="F118" s="2"/>
      <c r="G118" s="719" t="s">
        <v>177</v>
      </c>
      <c r="H118" s="701"/>
      <c r="I118" s="638"/>
      <c r="J118" s="638"/>
      <c r="K118" s="708"/>
      <c r="L118" s="2"/>
      <c r="M118" s="719" t="s">
        <v>177</v>
      </c>
      <c r="N118" s="701"/>
      <c r="O118" s="638"/>
      <c r="P118" s="638"/>
      <c r="Q118" s="708"/>
    </row>
    <row r="119" spans="1:17" ht="12.75" customHeight="1" x14ac:dyDescent="0.25">
      <c r="A119" s="719" t="s">
        <v>178</v>
      </c>
      <c r="B119" s="701"/>
      <c r="C119" s="638"/>
      <c r="D119" s="638"/>
      <c r="E119" s="708"/>
      <c r="F119" s="2"/>
      <c r="G119" s="719" t="s">
        <v>178</v>
      </c>
      <c r="H119" s="701"/>
      <c r="I119" s="638"/>
      <c r="J119" s="638"/>
      <c r="K119" s="708"/>
      <c r="L119" s="2"/>
      <c r="M119" s="719" t="s">
        <v>178</v>
      </c>
      <c r="N119" s="701"/>
      <c r="O119" s="638"/>
      <c r="P119" s="638"/>
      <c r="Q119" s="708"/>
    </row>
    <row r="120" spans="1:17" ht="12.75" customHeight="1" x14ac:dyDescent="0.25">
      <c r="A120" s="719" t="s">
        <v>179</v>
      </c>
      <c r="B120" s="701"/>
      <c r="C120" s="638"/>
      <c r="D120" s="638"/>
      <c r="E120" s="708"/>
      <c r="F120" s="2"/>
      <c r="G120" s="719" t="s">
        <v>179</v>
      </c>
      <c r="H120" s="701"/>
      <c r="I120" s="638"/>
      <c r="J120" s="638"/>
      <c r="K120" s="708"/>
      <c r="L120" s="2"/>
      <c r="M120" s="719" t="s">
        <v>179</v>
      </c>
      <c r="N120" s="701"/>
      <c r="O120" s="638"/>
      <c r="P120" s="638"/>
      <c r="Q120" s="708"/>
    </row>
    <row r="121" spans="1:17" ht="12.75" customHeight="1" x14ac:dyDescent="0.25">
      <c r="A121" s="719" t="s">
        <v>180</v>
      </c>
      <c r="B121" s="701"/>
      <c r="C121" s="638"/>
      <c r="D121" s="638"/>
      <c r="E121" s="708"/>
      <c r="F121" s="2"/>
      <c r="G121" s="719" t="s">
        <v>180</v>
      </c>
      <c r="H121" s="701"/>
      <c r="I121" s="638"/>
      <c r="J121" s="638"/>
      <c r="K121" s="708"/>
      <c r="L121" s="2"/>
      <c r="M121" s="719" t="s">
        <v>180</v>
      </c>
      <c r="N121" s="701"/>
      <c r="O121" s="638"/>
      <c r="P121" s="638"/>
      <c r="Q121" s="708"/>
    </row>
    <row r="122" spans="1:17" ht="12.75" customHeight="1" thickBot="1" x14ac:dyDescent="0.3">
      <c r="A122" s="45" t="s">
        <v>103</v>
      </c>
      <c r="B122" s="714"/>
      <c r="C122" s="714"/>
      <c r="D122" s="714"/>
      <c r="E122" s="777"/>
      <c r="F122" s="2"/>
      <c r="G122" s="45" t="s">
        <v>103</v>
      </c>
      <c r="H122" s="714"/>
      <c r="I122" s="714"/>
      <c r="J122" s="714"/>
      <c r="K122" s="777"/>
      <c r="L122" s="2"/>
      <c r="M122" s="45" t="s">
        <v>103</v>
      </c>
      <c r="N122" s="714"/>
      <c r="O122" s="714"/>
      <c r="P122" s="714"/>
      <c r="Q122" s="777"/>
    </row>
    <row r="123" spans="1:17" ht="12.75" customHeight="1" x14ac:dyDescent="0.25"/>
    <row r="124" spans="1:17" ht="12.75" customHeight="1" x14ac:dyDescent="0.25"/>
    <row r="125" spans="1:17" ht="12.75" customHeight="1" x14ac:dyDescent="0.25"/>
    <row r="126" spans="1:17" ht="12.75" customHeight="1" x14ac:dyDescent="0.25"/>
    <row r="127" spans="1:17" ht="12.75" customHeight="1" x14ac:dyDescent="0.25"/>
    <row r="128" spans="1:17" ht="12.75" customHeight="1" x14ac:dyDescent="0.25"/>
    <row r="129" ht="12.75" customHeight="1" x14ac:dyDescent="0.25"/>
  </sheetData>
  <sheetProtection algorithmName="SHA-512" hashValue="ITJcaxJgkLQ9k7iHJsAD+RfxkPPec9hGSfqlJBk41xxqo2EBfgxgbZc7wr6uGihZQNvemTCP9YVN6eFL7YxycQ==" saltValue="OcJ5pLpYujZFBCiMfcxxfg==" spinCount="100000" sheet="1" objects="1" selectLockedCells="1"/>
  <mergeCells count="555">
    <mergeCell ref="M11:N11"/>
    <mergeCell ref="O11:Q11"/>
    <mergeCell ref="M12:N12"/>
    <mergeCell ref="O12:Q12"/>
    <mergeCell ref="M13:N13"/>
    <mergeCell ref="O13:Q13"/>
    <mergeCell ref="C12:E12"/>
    <mergeCell ref="G12:H12"/>
    <mergeCell ref="A8:B8"/>
    <mergeCell ref="A9:B9"/>
    <mergeCell ref="I12:K12"/>
    <mergeCell ref="G13:H13"/>
    <mergeCell ref="I13:K13"/>
    <mergeCell ref="I11:K11"/>
    <mergeCell ref="C8:E8"/>
    <mergeCell ref="C9:E9"/>
    <mergeCell ref="C10:E10"/>
    <mergeCell ref="C11:E11"/>
    <mergeCell ref="A1:Q1"/>
    <mergeCell ref="A10:B10"/>
    <mergeCell ref="A11:B11"/>
    <mergeCell ref="A12:B12"/>
    <mergeCell ref="A13:B13"/>
    <mergeCell ref="A3:H3"/>
    <mergeCell ref="J3:Q3"/>
    <mergeCell ref="E4:G4"/>
    <mergeCell ref="O4:P4"/>
    <mergeCell ref="A6:Q6"/>
    <mergeCell ref="M8:N8"/>
    <mergeCell ref="O8:Q8"/>
    <mergeCell ref="M9:N9"/>
    <mergeCell ref="O9:Q9"/>
    <mergeCell ref="M10:N10"/>
    <mergeCell ref="O10:Q10"/>
    <mergeCell ref="C13:E13"/>
    <mergeCell ref="G8:H8"/>
    <mergeCell ref="I8:K8"/>
    <mergeCell ref="G9:H9"/>
    <mergeCell ref="I9:K9"/>
    <mergeCell ref="G10:H10"/>
    <mergeCell ref="I10:K10"/>
    <mergeCell ref="G11:H11"/>
    <mergeCell ref="A19:B19"/>
    <mergeCell ref="C19:E19"/>
    <mergeCell ref="A20:B20"/>
    <mergeCell ref="C20:E20"/>
    <mergeCell ref="A21:B21"/>
    <mergeCell ref="C21:E21"/>
    <mergeCell ref="N14:Q14"/>
    <mergeCell ref="A16:B16"/>
    <mergeCell ref="C16:E16"/>
    <mergeCell ref="A17:B17"/>
    <mergeCell ref="C17:E17"/>
    <mergeCell ref="A18:B18"/>
    <mergeCell ref="C18:E18"/>
    <mergeCell ref="O18:Q18"/>
    <mergeCell ref="H14:K14"/>
    <mergeCell ref="M16:N16"/>
    <mergeCell ref="O16:Q16"/>
    <mergeCell ref="M17:N17"/>
    <mergeCell ref="O17:Q17"/>
    <mergeCell ref="M18:N18"/>
    <mergeCell ref="B14:E14"/>
    <mergeCell ref="A27:B27"/>
    <mergeCell ref="C27:E27"/>
    <mergeCell ref="A28:B28"/>
    <mergeCell ref="C28:E28"/>
    <mergeCell ref="A29:B29"/>
    <mergeCell ref="C29:E29"/>
    <mergeCell ref="B22:E22"/>
    <mergeCell ref="A24:B24"/>
    <mergeCell ref="C24:E24"/>
    <mergeCell ref="A25:B25"/>
    <mergeCell ref="C25:E25"/>
    <mergeCell ref="A26:B26"/>
    <mergeCell ref="C26:E26"/>
    <mergeCell ref="A35:B35"/>
    <mergeCell ref="C35:E35"/>
    <mergeCell ref="A36:B36"/>
    <mergeCell ref="C36:E36"/>
    <mergeCell ref="A37:B37"/>
    <mergeCell ref="C37:E37"/>
    <mergeCell ref="B30:E30"/>
    <mergeCell ref="A32:B32"/>
    <mergeCell ref="C32:E32"/>
    <mergeCell ref="A33:B33"/>
    <mergeCell ref="C33:E33"/>
    <mergeCell ref="A34:B34"/>
    <mergeCell ref="C34:E34"/>
    <mergeCell ref="C43:E43"/>
    <mergeCell ref="A44:B44"/>
    <mergeCell ref="C44:E44"/>
    <mergeCell ref="A45:B45"/>
    <mergeCell ref="C45:E45"/>
    <mergeCell ref="B38:E38"/>
    <mergeCell ref="A40:B40"/>
    <mergeCell ref="C40:E40"/>
    <mergeCell ref="A41:B41"/>
    <mergeCell ref="C41:E41"/>
    <mergeCell ref="A42:B42"/>
    <mergeCell ref="C42:E42"/>
    <mergeCell ref="B54:E54"/>
    <mergeCell ref="G16:H16"/>
    <mergeCell ref="I16:K16"/>
    <mergeCell ref="G17:H17"/>
    <mergeCell ref="I17:K17"/>
    <mergeCell ref="G18:H18"/>
    <mergeCell ref="I18:K18"/>
    <mergeCell ref="G19:H19"/>
    <mergeCell ref="I19:K19"/>
    <mergeCell ref="G20:H20"/>
    <mergeCell ref="A51:B51"/>
    <mergeCell ref="C51:E51"/>
    <mergeCell ref="A52:B52"/>
    <mergeCell ref="C52:E52"/>
    <mergeCell ref="A53:B53"/>
    <mergeCell ref="C53:E53"/>
    <mergeCell ref="B46:E46"/>
    <mergeCell ref="A48:B48"/>
    <mergeCell ref="C48:E48"/>
    <mergeCell ref="A49:B49"/>
    <mergeCell ref="C49:E49"/>
    <mergeCell ref="A50:B50"/>
    <mergeCell ref="C50:E50"/>
    <mergeCell ref="A43:B43"/>
    <mergeCell ref="G25:H25"/>
    <mergeCell ref="I25:K25"/>
    <mergeCell ref="G26:H26"/>
    <mergeCell ref="I26:K26"/>
    <mergeCell ref="G27:H27"/>
    <mergeCell ref="I27:K27"/>
    <mergeCell ref="I20:K20"/>
    <mergeCell ref="G21:H21"/>
    <mergeCell ref="I21:K21"/>
    <mergeCell ref="H22:K22"/>
    <mergeCell ref="G24:H24"/>
    <mergeCell ref="I24:K24"/>
    <mergeCell ref="G34:H34"/>
    <mergeCell ref="I34:K34"/>
    <mergeCell ref="G35:H35"/>
    <mergeCell ref="I35:K35"/>
    <mergeCell ref="G28:H28"/>
    <mergeCell ref="I28:K28"/>
    <mergeCell ref="G29:H29"/>
    <mergeCell ref="I29:K29"/>
    <mergeCell ref="H30:K30"/>
    <mergeCell ref="G32:H32"/>
    <mergeCell ref="I32:K32"/>
    <mergeCell ref="G33:H33"/>
    <mergeCell ref="I33:K33"/>
    <mergeCell ref="H54:K54"/>
    <mergeCell ref="G49:H49"/>
    <mergeCell ref="I49:K49"/>
    <mergeCell ref="G50:H50"/>
    <mergeCell ref="I50:K50"/>
    <mergeCell ref="G51:H51"/>
    <mergeCell ref="I51:K51"/>
    <mergeCell ref="G44:H44"/>
    <mergeCell ref="I44:K44"/>
    <mergeCell ref="G45:H45"/>
    <mergeCell ref="I45:K45"/>
    <mergeCell ref="H46:K46"/>
    <mergeCell ref="G48:H48"/>
    <mergeCell ref="I48:K48"/>
    <mergeCell ref="G52:H52"/>
    <mergeCell ref="I52:K52"/>
    <mergeCell ref="G53:H53"/>
    <mergeCell ref="I53:K53"/>
    <mergeCell ref="G41:H41"/>
    <mergeCell ref="I41:K41"/>
    <mergeCell ref="G42:H42"/>
    <mergeCell ref="I42:K42"/>
    <mergeCell ref="G43:H43"/>
    <mergeCell ref="I43:K43"/>
    <mergeCell ref="G36:H36"/>
    <mergeCell ref="I36:K36"/>
    <mergeCell ref="G37:H37"/>
    <mergeCell ref="I37:K37"/>
    <mergeCell ref="H38:K38"/>
    <mergeCell ref="G40:H40"/>
    <mergeCell ref="I40:K40"/>
    <mergeCell ref="M24:N24"/>
    <mergeCell ref="O24:Q24"/>
    <mergeCell ref="M25:N25"/>
    <mergeCell ref="O25:Q25"/>
    <mergeCell ref="M26:N26"/>
    <mergeCell ref="O26:Q26"/>
    <mergeCell ref="M19:N19"/>
    <mergeCell ref="O19:Q19"/>
    <mergeCell ref="M20:N20"/>
    <mergeCell ref="O20:Q20"/>
    <mergeCell ref="M21:N21"/>
    <mergeCell ref="O21:Q21"/>
    <mergeCell ref="N22:Q22"/>
    <mergeCell ref="N30:Q30"/>
    <mergeCell ref="M32:N32"/>
    <mergeCell ref="O32:Q32"/>
    <mergeCell ref="M33:N33"/>
    <mergeCell ref="O33:Q33"/>
    <mergeCell ref="M34:N34"/>
    <mergeCell ref="O34:Q34"/>
    <mergeCell ref="M27:N27"/>
    <mergeCell ref="O27:Q27"/>
    <mergeCell ref="M28:N28"/>
    <mergeCell ref="O28:Q28"/>
    <mergeCell ref="M29:N29"/>
    <mergeCell ref="O29:Q29"/>
    <mergeCell ref="N38:Q38"/>
    <mergeCell ref="M40:N40"/>
    <mergeCell ref="O40:Q40"/>
    <mergeCell ref="M41:N41"/>
    <mergeCell ref="O41:Q41"/>
    <mergeCell ref="M42:N42"/>
    <mergeCell ref="O42:Q42"/>
    <mergeCell ref="M35:N35"/>
    <mergeCell ref="O35:Q35"/>
    <mergeCell ref="M36:N36"/>
    <mergeCell ref="O36:Q36"/>
    <mergeCell ref="M37:N37"/>
    <mergeCell ref="O37:Q37"/>
    <mergeCell ref="O49:Q49"/>
    <mergeCell ref="M50:N50"/>
    <mergeCell ref="O50:Q50"/>
    <mergeCell ref="M43:N43"/>
    <mergeCell ref="O43:Q43"/>
    <mergeCell ref="M44:N44"/>
    <mergeCell ref="O44:Q44"/>
    <mergeCell ref="M45:N45"/>
    <mergeCell ref="O45:Q45"/>
    <mergeCell ref="A57:B57"/>
    <mergeCell ref="C57:E57"/>
    <mergeCell ref="G57:H57"/>
    <mergeCell ref="I57:K57"/>
    <mergeCell ref="M57:N57"/>
    <mergeCell ref="O57:Q57"/>
    <mergeCell ref="N54:Q54"/>
    <mergeCell ref="K4:L4"/>
    <mergeCell ref="A56:B56"/>
    <mergeCell ref="C56:E56"/>
    <mergeCell ref="G56:H56"/>
    <mergeCell ref="I56:K56"/>
    <mergeCell ref="M56:N56"/>
    <mergeCell ref="O56:Q56"/>
    <mergeCell ref="M51:N51"/>
    <mergeCell ref="O51:Q51"/>
    <mergeCell ref="M52:N52"/>
    <mergeCell ref="O52:Q52"/>
    <mergeCell ref="M53:N53"/>
    <mergeCell ref="O53:Q53"/>
    <mergeCell ref="N46:Q46"/>
    <mergeCell ref="M48:N48"/>
    <mergeCell ref="O48:Q48"/>
    <mergeCell ref="M49:N49"/>
    <mergeCell ref="A59:B59"/>
    <mergeCell ref="C59:E59"/>
    <mergeCell ref="G59:H59"/>
    <mergeCell ref="I59:K59"/>
    <mergeCell ref="M59:N59"/>
    <mergeCell ref="O59:Q59"/>
    <mergeCell ref="A58:B58"/>
    <mergeCell ref="C58:E58"/>
    <mergeCell ref="G58:H58"/>
    <mergeCell ref="I58:K58"/>
    <mergeCell ref="M58:N58"/>
    <mergeCell ref="O58:Q58"/>
    <mergeCell ref="A61:B61"/>
    <mergeCell ref="C61:E61"/>
    <mergeCell ref="G61:H61"/>
    <mergeCell ref="I61:K61"/>
    <mergeCell ref="M61:N61"/>
    <mergeCell ref="O61:Q61"/>
    <mergeCell ref="A60:B60"/>
    <mergeCell ref="C60:E60"/>
    <mergeCell ref="G60:H60"/>
    <mergeCell ref="I60:K60"/>
    <mergeCell ref="M60:N60"/>
    <mergeCell ref="O60:Q60"/>
    <mergeCell ref="A69:B69"/>
    <mergeCell ref="C69:E69"/>
    <mergeCell ref="G69:H69"/>
    <mergeCell ref="I69:K69"/>
    <mergeCell ref="M69:N69"/>
    <mergeCell ref="O69:Q69"/>
    <mergeCell ref="B62:E62"/>
    <mergeCell ref="H62:K62"/>
    <mergeCell ref="N62:Q62"/>
    <mergeCell ref="A68:B68"/>
    <mergeCell ref="C68:E68"/>
    <mergeCell ref="G68:H68"/>
    <mergeCell ref="I68:K68"/>
    <mergeCell ref="M68:N68"/>
    <mergeCell ref="O68:Q68"/>
    <mergeCell ref="A64:Q64"/>
    <mergeCell ref="A71:B71"/>
    <mergeCell ref="C71:E71"/>
    <mergeCell ref="G71:H71"/>
    <mergeCell ref="I71:K71"/>
    <mergeCell ref="M71:N71"/>
    <mergeCell ref="O71:Q71"/>
    <mergeCell ref="A70:B70"/>
    <mergeCell ref="C70:E70"/>
    <mergeCell ref="G70:H70"/>
    <mergeCell ref="I70:K70"/>
    <mergeCell ref="M70:N70"/>
    <mergeCell ref="O70:Q70"/>
    <mergeCell ref="A73:B73"/>
    <mergeCell ref="C73:E73"/>
    <mergeCell ref="G73:H73"/>
    <mergeCell ref="I73:K73"/>
    <mergeCell ref="M73:N73"/>
    <mergeCell ref="O73:Q73"/>
    <mergeCell ref="A72:B72"/>
    <mergeCell ref="C72:E72"/>
    <mergeCell ref="G72:H72"/>
    <mergeCell ref="I72:K72"/>
    <mergeCell ref="M72:N72"/>
    <mergeCell ref="O72:Q72"/>
    <mergeCell ref="A77:B77"/>
    <mergeCell ref="C77:E77"/>
    <mergeCell ref="G77:H77"/>
    <mergeCell ref="I77:K77"/>
    <mergeCell ref="M77:N77"/>
    <mergeCell ref="O77:Q77"/>
    <mergeCell ref="B74:E74"/>
    <mergeCell ref="H74:K74"/>
    <mergeCell ref="N74:Q74"/>
    <mergeCell ref="A76:B76"/>
    <mergeCell ref="C76:E76"/>
    <mergeCell ref="G76:H76"/>
    <mergeCell ref="I76:K76"/>
    <mergeCell ref="M76:N76"/>
    <mergeCell ref="O76:Q76"/>
    <mergeCell ref="A79:B79"/>
    <mergeCell ref="C79:E79"/>
    <mergeCell ref="G79:H79"/>
    <mergeCell ref="I79:K79"/>
    <mergeCell ref="M79:N79"/>
    <mergeCell ref="O79:Q79"/>
    <mergeCell ref="A78:B78"/>
    <mergeCell ref="C78:E78"/>
    <mergeCell ref="G78:H78"/>
    <mergeCell ref="I78:K78"/>
    <mergeCell ref="M78:N78"/>
    <mergeCell ref="O78:Q78"/>
    <mergeCell ref="A81:B81"/>
    <mergeCell ref="C81:E81"/>
    <mergeCell ref="G81:H81"/>
    <mergeCell ref="I81:K81"/>
    <mergeCell ref="M81:N81"/>
    <mergeCell ref="O81:Q81"/>
    <mergeCell ref="A80:B80"/>
    <mergeCell ref="C80:E80"/>
    <mergeCell ref="G80:H80"/>
    <mergeCell ref="I80:K80"/>
    <mergeCell ref="M80:N80"/>
    <mergeCell ref="O80:Q80"/>
    <mergeCell ref="A85:B85"/>
    <mergeCell ref="C85:E85"/>
    <mergeCell ref="G85:H85"/>
    <mergeCell ref="I85:K85"/>
    <mergeCell ref="M85:N85"/>
    <mergeCell ref="O85:Q85"/>
    <mergeCell ref="B82:E82"/>
    <mergeCell ref="H82:K82"/>
    <mergeCell ref="N82:Q82"/>
    <mergeCell ref="A84:B84"/>
    <mergeCell ref="C84:E84"/>
    <mergeCell ref="G84:H84"/>
    <mergeCell ref="I84:K84"/>
    <mergeCell ref="M84:N84"/>
    <mergeCell ref="O84:Q84"/>
    <mergeCell ref="A87:B87"/>
    <mergeCell ref="C87:E87"/>
    <mergeCell ref="G87:H87"/>
    <mergeCell ref="I87:K87"/>
    <mergeCell ref="M87:N87"/>
    <mergeCell ref="O87:Q87"/>
    <mergeCell ref="A86:B86"/>
    <mergeCell ref="C86:E86"/>
    <mergeCell ref="G86:H86"/>
    <mergeCell ref="I86:K86"/>
    <mergeCell ref="M86:N86"/>
    <mergeCell ref="O86:Q86"/>
    <mergeCell ref="A89:B89"/>
    <mergeCell ref="C89:E89"/>
    <mergeCell ref="G89:H89"/>
    <mergeCell ref="I89:K89"/>
    <mergeCell ref="M89:N89"/>
    <mergeCell ref="O89:Q89"/>
    <mergeCell ref="A88:B88"/>
    <mergeCell ref="C88:E88"/>
    <mergeCell ref="G88:H88"/>
    <mergeCell ref="I88:K88"/>
    <mergeCell ref="M88:N88"/>
    <mergeCell ref="O88:Q88"/>
    <mergeCell ref="A93:B93"/>
    <mergeCell ref="C93:E93"/>
    <mergeCell ref="G93:H93"/>
    <mergeCell ref="I93:K93"/>
    <mergeCell ref="M93:N93"/>
    <mergeCell ref="O93:Q93"/>
    <mergeCell ref="B90:E90"/>
    <mergeCell ref="H90:K90"/>
    <mergeCell ref="N90:Q90"/>
    <mergeCell ref="A92:B92"/>
    <mergeCell ref="C92:E92"/>
    <mergeCell ref="G92:H92"/>
    <mergeCell ref="I92:K92"/>
    <mergeCell ref="M92:N92"/>
    <mergeCell ref="O92:Q92"/>
    <mergeCell ref="A95:B95"/>
    <mergeCell ref="C95:E95"/>
    <mergeCell ref="G95:H95"/>
    <mergeCell ref="I95:K95"/>
    <mergeCell ref="M95:N95"/>
    <mergeCell ref="O95:Q95"/>
    <mergeCell ref="A94:B94"/>
    <mergeCell ref="C94:E94"/>
    <mergeCell ref="G94:H94"/>
    <mergeCell ref="I94:K94"/>
    <mergeCell ref="M94:N94"/>
    <mergeCell ref="O94:Q94"/>
    <mergeCell ref="A97:B97"/>
    <mergeCell ref="C97:E97"/>
    <mergeCell ref="G97:H97"/>
    <mergeCell ref="I97:K97"/>
    <mergeCell ref="M97:N97"/>
    <mergeCell ref="O97:Q97"/>
    <mergeCell ref="A96:B96"/>
    <mergeCell ref="C96:E96"/>
    <mergeCell ref="G96:H96"/>
    <mergeCell ref="I96:K96"/>
    <mergeCell ref="M96:N96"/>
    <mergeCell ref="O96:Q96"/>
    <mergeCell ref="A101:B101"/>
    <mergeCell ref="C101:E101"/>
    <mergeCell ref="G101:H101"/>
    <mergeCell ref="I101:K101"/>
    <mergeCell ref="M101:N101"/>
    <mergeCell ref="O101:Q101"/>
    <mergeCell ref="B98:E98"/>
    <mergeCell ref="H98:K98"/>
    <mergeCell ref="N98:Q98"/>
    <mergeCell ref="A100:B100"/>
    <mergeCell ref="C100:E100"/>
    <mergeCell ref="G100:H100"/>
    <mergeCell ref="I100:K100"/>
    <mergeCell ref="M100:N100"/>
    <mergeCell ref="O100:Q100"/>
    <mergeCell ref="A105:B105"/>
    <mergeCell ref="C105:E105"/>
    <mergeCell ref="G105:H105"/>
    <mergeCell ref="I105:K105"/>
    <mergeCell ref="M105:N105"/>
    <mergeCell ref="O105:Q105"/>
    <mergeCell ref="O103:Q103"/>
    <mergeCell ref="A102:B102"/>
    <mergeCell ref="C102:E102"/>
    <mergeCell ref="G102:H102"/>
    <mergeCell ref="I102:K102"/>
    <mergeCell ref="M102:N102"/>
    <mergeCell ref="O102:Q102"/>
    <mergeCell ref="A104:B104"/>
    <mergeCell ref="C104:E104"/>
    <mergeCell ref="G104:H104"/>
    <mergeCell ref="I104:K104"/>
    <mergeCell ref="M104:N104"/>
    <mergeCell ref="O104:Q104"/>
    <mergeCell ref="A103:B103"/>
    <mergeCell ref="C103:E103"/>
    <mergeCell ref="G103:H103"/>
    <mergeCell ref="I103:K103"/>
    <mergeCell ref="M103:N103"/>
    <mergeCell ref="A109:B109"/>
    <mergeCell ref="C109:E109"/>
    <mergeCell ref="G109:H109"/>
    <mergeCell ref="I109:K109"/>
    <mergeCell ref="M109:N109"/>
    <mergeCell ref="O109:Q109"/>
    <mergeCell ref="B106:E106"/>
    <mergeCell ref="H106:K106"/>
    <mergeCell ref="N106:Q106"/>
    <mergeCell ref="A108:B108"/>
    <mergeCell ref="C108:E108"/>
    <mergeCell ref="G108:H108"/>
    <mergeCell ref="I108:K108"/>
    <mergeCell ref="M108:N108"/>
    <mergeCell ref="O108:Q108"/>
    <mergeCell ref="A111:B111"/>
    <mergeCell ref="C111:E111"/>
    <mergeCell ref="G111:H111"/>
    <mergeCell ref="I111:K111"/>
    <mergeCell ref="M111:N111"/>
    <mergeCell ref="O111:Q111"/>
    <mergeCell ref="A110:B110"/>
    <mergeCell ref="C110:E110"/>
    <mergeCell ref="G110:H110"/>
    <mergeCell ref="I110:K110"/>
    <mergeCell ref="M110:N110"/>
    <mergeCell ref="O110:Q110"/>
    <mergeCell ref="A113:B113"/>
    <mergeCell ref="C113:E113"/>
    <mergeCell ref="G113:H113"/>
    <mergeCell ref="I113:K113"/>
    <mergeCell ref="M113:N113"/>
    <mergeCell ref="O113:Q113"/>
    <mergeCell ref="A112:B112"/>
    <mergeCell ref="C112:E112"/>
    <mergeCell ref="G112:H112"/>
    <mergeCell ref="I112:K112"/>
    <mergeCell ref="M112:N112"/>
    <mergeCell ref="O112:Q112"/>
    <mergeCell ref="B114:E114"/>
    <mergeCell ref="H114:K114"/>
    <mergeCell ref="N114:Q114"/>
    <mergeCell ref="A116:B116"/>
    <mergeCell ref="C116:E116"/>
    <mergeCell ref="G116:H116"/>
    <mergeCell ref="I116:K116"/>
    <mergeCell ref="M116:N116"/>
    <mergeCell ref="O116:Q116"/>
    <mergeCell ref="G118:H118"/>
    <mergeCell ref="I118:K118"/>
    <mergeCell ref="M118:N118"/>
    <mergeCell ref="O118:Q118"/>
    <mergeCell ref="A117:B117"/>
    <mergeCell ref="C117:E117"/>
    <mergeCell ref="G117:H117"/>
    <mergeCell ref="I117:K117"/>
    <mergeCell ref="M117:N117"/>
    <mergeCell ref="O117:Q117"/>
    <mergeCell ref="B122:E122"/>
    <mergeCell ref="H122:K122"/>
    <mergeCell ref="N122:Q122"/>
    <mergeCell ref="A66:Q66"/>
    <mergeCell ref="A121:B121"/>
    <mergeCell ref="C121:E121"/>
    <mergeCell ref="G121:H121"/>
    <mergeCell ref="I121:K121"/>
    <mergeCell ref="M121:N121"/>
    <mergeCell ref="O121:Q121"/>
    <mergeCell ref="A120:B120"/>
    <mergeCell ref="C120:E120"/>
    <mergeCell ref="G120:H120"/>
    <mergeCell ref="I120:K120"/>
    <mergeCell ref="M120:N120"/>
    <mergeCell ref="O120:Q120"/>
    <mergeCell ref="A119:B119"/>
    <mergeCell ref="C119:E119"/>
    <mergeCell ref="G119:H119"/>
    <mergeCell ref="I119:K119"/>
    <mergeCell ref="M119:N119"/>
    <mergeCell ref="O119:Q119"/>
    <mergeCell ref="A118:B118"/>
    <mergeCell ref="C118:E118"/>
  </mergeCells>
  <pageMargins left="0.7" right="0.7" top="0.75" bottom="0.75" header="0.3" footer="0.3"/>
  <pageSetup orientation="portrait" horizontalDpi="4294967293" verticalDpi="0" r:id="rId1"/>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DBB490-07D5-44B3-9878-9846777ED112}">
  <sheetPr codeName="Sheet6">
    <tabColor rgb="FF542708"/>
  </sheetPr>
  <dimension ref="A1:W78"/>
  <sheetViews>
    <sheetView showGridLines="0" zoomScaleNormal="100" workbookViewId="0">
      <selection activeCell="E5" sqref="E5"/>
    </sheetView>
  </sheetViews>
  <sheetFormatPr defaultRowHeight="15" x14ac:dyDescent="0.25"/>
  <cols>
    <col min="1" max="2" width="3.42578125" customWidth="1"/>
    <col min="3" max="4" width="3" customWidth="1"/>
    <col min="5" max="8" width="6" customWidth="1"/>
    <col min="9" max="9" width="0.7109375" customWidth="1"/>
    <col min="10" max="13" width="3" customWidth="1"/>
    <col min="14" max="14" width="0.7109375" customWidth="1"/>
    <col min="15" max="15" width="5.28515625" customWidth="1"/>
    <col min="16" max="16" width="2.140625" customWidth="1"/>
    <col min="17" max="17" width="7.85546875" customWidth="1"/>
    <col min="18" max="22" width="6" customWidth="1"/>
  </cols>
  <sheetData>
    <row r="1" spans="1:21" ht="18.75" customHeight="1" x14ac:dyDescent="0.25">
      <c r="A1" s="941" t="s">
        <v>1</v>
      </c>
      <c r="B1" s="942"/>
      <c r="C1" s="942"/>
      <c r="D1" s="942"/>
      <c r="E1" s="942"/>
      <c r="F1" s="942"/>
      <c r="G1" s="942"/>
      <c r="H1" s="942"/>
      <c r="I1" s="942"/>
      <c r="J1" s="942"/>
      <c r="K1" s="942"/>
      <c r="L1" s="942"/>
      <c r="M1" s="942"/>
      <c r="N1" s="942"/>
      <c r="O1" s="942"/>
      <c r="P1" s="942"/>
      <c r="Q1" s="942"/>
      <c r="R1" s="942"/>
      <c r="S1" s="942"/>
      <c r="T1" s="942"/>
      <c r="U1" s="942"/>
    </row>
    <row r="2" spans="1:21" ht="3.75" customHeight="1" thickBot="1" x14ac:dyDescent="0.3">
      <c r="A2" s="892"/>
      <c r="B2" s="892"/>
      <c r="C2" s="892"/>
      <c r="D2" s="892"/>
      <c r="E2" s="892"/>
      <c r="F2" s="892"/>
      <c r="G2" s="892"/>
      <c r="H2" s="892"/>
      <c r="I2" s="892"/>
      <c r="J2" s="892"/>
      <c r="K2" s="892"/>
      <c r="L2" s="892"/>
      <c r="M2" s="892"/>
      <c r="N2" s="892"/>
      <c r="O2" s="892"/>
      <c r="P2" s="892"/>
      <c r="Q2" s="892"/>
      <c r="R2" s="892"/>
      <c r="S2" s="892"/>
      <c r="T2" s="892"/>
      <c r="U2" s="892"/>
    </row>
    <row r="3" spans="1:21" ht="12.75" customHeight="1" thickBot="1" x14ac:dyDescent="0.3">
      <c r="A3" s="929" t="s">
        <v>73</v>
      </c>
      <c r="B3" s="930"/>
      <c r="C3" s="930"/>
      <c r="D3" s="930"/>
      <c r="E3" s="930"/>
      <c r="F3" s="930" t="s">
        <v>72</v>
      </c>
      <c r="G3" s="930"/>
      <c r="H3" s="931"/>
      <c r="I3" s="893"/>
      <c r="J3" s="947" t="s">
        <v>246</v>
      </c>
      <c r="K3" s="948"/>
      <c r="L3" s="948"/>
      <c r="M3" s="948"/>
      <c r="N3" s="948"/>
      <c r="O3" s="948"/>
      <c r="P3" s="948"/>
      <c r="Q3" s="948"/>
      <c r="R3" s="948"/>
      <c r="S3" s="948"/>
      <c r="T3" s="948"/>
      <c r="U3" s="949"/>
    </row>
    <row r="4" spans="1:21" ht="12.75" customHeight="1" x14ac:dyDescent="0.25">
      <c r="A4" s="950" t="s">
        <v>163</v>
      </c>
      <c r="B4" s="945"/>
      <c r="C4" s="945"/>
      <c r="D4" s="945"/>
      <c r="E4" s="114">
        <f>total_sdc</f>
        <v>0</v>
      </c>
      <c r="F4" s="945" t="s">
        <v>163</v>
      </c>
      <c r="G4" s="945"/>
      <c r="H4" s="116">
        <f>total_hp</f>
        <v>0</v>
      </c>
      <c r="I4" s="893"/>
      <c r="J4" s="951" t="s">
        <v>245</v>
      </c>
      <c r="K4" s="952"/>
      <c r="L4" s="952"/>
      <c r="M4" s="952"/>
      <c r="N4" s="952"/>
      <c r="O4" s="952"/>
      <c r="P4" s="952"/>
      <c r="Q4" s="953"/>
      <c r="R4" s="957" t="s">
        <v>264</v>
      </c>
      <c r="S4" s="958"/>
      <c r="T4" s="957" t="s">
        <v>265</v>
      </c>
      <c r="U4" s="960"/>
    </row>
    <row r="5" spans="1:21" ht="12.75" customHeight="1" x14ac:dyDescent="0.25">
      <c r="A5" s="851" t="s">
        <v>259</v>
      </c>
      <c r="B5" s="946"/>
      <c r="C5" s="946"/>
      <c r="D5" s="946"/>
      <c r="E5" s="66"/>
      <c r="F5" s="946" t="s">
        <v>262</v>
      </c>
      <c r="G5" s="946"/>
      <c r="H5" s="67"/>
      <c r="I5" s="893"/>
      <c r="J5" s="954"/>
      <c r="K5" s="955"/>
      <c r="L5" s="955"/>
      <c r="M5" s="955"/>
      <c r="N5" s="955"/>
      <c r="O5" s="955"/>
      <c r="P5" s="955"/>
      <c r="Q5" s="956"/>
      <c r="R5" s="959"/>
      <c r="S5" s="959"/>
      <c r="T5" s="961"/>
      <c r="U5" s="962"/>
    </row>
    <row r="6" spans="1:21" ht="12.75" customHeight="1" thickBot="1" x14ac:dyDescent="0.3">
      <c r="A6" s="852" t="s">
        <v>174</v>
      </c>
      <c r="B6" s="904"/>
      <c r="C6" s="904"/>
      <c r="D6" s="904"/>
      <c r="E6" s="115">
        <f>E4-E5</f>
        <v>0</v>
      </c>
      <c r="F6" s="904" t="s">
        <v>174</v>
      </c>
      <c r="G6" s="904"/>
      <c r="H6" s="117">
        <f>IF(E6&lt;0, H4-H5+E6, H4-H5)</f>
        <v>0</v>
      </c>
      <c r="I6" s="893"/>
      <c r="J6" s="969"/>
      <c r="K6" s="970"/>
      <c r="L6" s="911" t="s">
        <v>243</v>
      </c>
      <c r="M6" s="911"/>
      <c r="N6" s="911"/>
      <c r="O6" s="911"/>
      <c r="P6" s="911"/>
      <c r="Q6" s="911"/>
      <c r="R6" s="963" t="str">
        <f>IF(Combat!V5=TRUE, Combat!W5, "")</f>
        <v>1D4+0</v>
      </c>
      <c r="S6" s="963"/>
      <c r="T6" s="963" t="str">
        <f>IF(Combat!V5=TRUE, Combat!X5, "")</f>
        <v>2D4+0</v>
      </c>
      <c r="U6" s="964"/>
    </row>
    <row r="7" spans="1:21" ht="12.75" customHeight="1" thickBot="1" x14ac:dyDescent="0.3">
      <c r="A7" s="947" t="s">
        <v>261</v>
      </c>
      <c r="B7" s="948"/>
      <c r="C7" s="948"/>
      <c r="D7" s="948"/>
      <c r="E7" s="948"/>
      <c r="F7" s="948"/>
      <c r="G7" s="948"/>
      <c r="H7" s="949"/>
      <c r="I7" s="893"/>
      <c r="J7" s="967"/>
      <c r="K7" s="968"/>
      <c r="L7" s="911" t="s">
        <v>192</v>
      </c>
      <c r="M7" s="911"/>
      <c r="N7" s="911"/>
      <c r="O7" s="911"/>
      <c r="P7" s="911"/>
      <c r="Q7" s="911"/>
      <c r="R7" s="963" t="str">
        <f>IF(Combat!V6=TRUE, Combat!W6, "")</f>
        <v/>
      </c>
      <c r="S7" s="963"/>
      <c r="T7" s="963" t="str">
        <f>IF(Combat!V6=TRUE, Combat!X6, "")</f>
        <v/>
      </c>
      <c r="U7" s="964"/>
    </row>
    <row r="8" spans="1:21" ht="12.75" customHeight="1" thickBot="1" x14ac:dyDescent="0.3">
      <c r="A8" s="943" t="s">
        <v>146</v>
      </c>
      <c r="B8" s="944"/>
      <c r="C8" s="944"/>
      <c r="D8" s="944"/>
      <c r="E8" s="121" t="str">
        <f>IF(hf="", "", hf)</f>
        <v/>
      </c>
      <c r="F8" s="944" t="s">
        <v>258</v>
      </c>
      <c r="G8" s="944"/>
      <c r="H8" s="120" t="str">
        <f>IF(nar="", "", nar)</f>
        <v/>
      </c>
      <c r="I8" s="893"/>
      <c r="J8" s="967"/>
      <c r="K8" s="968"/>
      <c r="L8" s="911" t="s">
        <v>241</v>
      </c>
      <c r="M8" s="911"/>
      <c r="N8" s="911"/>
      <c r="O8" s="911"/>
      <c r="P8" s="911"/>
      <c r="Q8" s="911"/>
      <c r="R8" s="963" t="str">
        <f>IF(Combat!V7=TRUE, Combat!W7, "")</f>
        <v/>
      </c>
      <c r="S8" s="963"/>
      <c r="T8" s="963" t="str">
        <f>IF(Combat!V7=TRUE, Combat!X7, "")</f>
        <v/>
      </c>
      <c r="U8" s="964"/>
    </row>
    <row r="9" spans="1:21" ht="12.75" customHeight="1" thickBot="1" x14ac:dyDescent="0.3">
      <c r="A9" s="929" t="s">
        <v>113</v>
      </c>
      <c r="B9" s="930"/>
      <c r="C9" s="930"/>
      <c r="D9" s="930"/>
      <c r="E9" s="930"/>
      <c r="F9" s="930"/>
      <c r="G9" s="930"/>
      <c r="H9" s="931"/>
      <c r="I9" s="893"/>
      <c r="J9" s="967"/>
      <c r="K9" s="968"/>
      <c r="L9" s="911" t="s">
        <v>193</v>
      </c>
      <c r="M9" s="911"/>
      <c r="N9" s="911"/>
      <c r="O9" s="911"/>
      <c r="P9" s="911"/>
      <c r="Q9" s="911"/>
      <c r="R9" s="963" t="str">
        <f>IF(Combat!V8=TRUE, Combat!W8, "")</f>
        <v/>
      </c>
      <c r="S9" s="963"/>
      <c r="T9" s="963" t="str">
        <f>IF(Combat!V8=TRUE, Combat!X8, "")</f>
        <v/>
      </c>
      <c r="U9" s="964"/>
    </row>
    <row r="10" spans="1:21" ht="12.75" customHeight="1" thickBot="1" x14ac:dyDescent="0.3">
      <c r="A10" s="978" t="s">
        <v>71</v>
      </c>
      <c r="B10" s="979"/>
      <c r="C10" s="979"/>
      <c r="D10" s="979"/>
      <c r="E10" s="971" t="str">
        <f>IF(hth="", "None", hth)</f>
        <v>None</v>
      </c>
      <c r="F10" s="972"/>
      <c r="G10" s="972"/>
      <c r="H10" s="973"/>
      <c r="I10" s="893"/>
      <c r="J10" s="967"/>
      <c r="K10" s="968"/>
      <c r="L10" s="911" t="s">
        <v>194</v>
      </c>
      <c r="M10" s="911"/>
      <c r="N10" s="911"/>
      <c r="O10" s="911"/>
      <c r="P10" s="911"/>
      <c r="Q10" s="911"/>
      <c r="R10" s="963" t="str">
        <f>IF(Combat!V9=TRUE, Combat!W9, "")</f>
        <v/>
      </c>
      <c r="S10" s="963"/>
      <c r="T10" s="963" t="str">
        <f>IF(Combat!V9=TRUE, Combat!X9, "")</f>
        <v/>
      </c>
      <c r="U10" s="964"/>
    </row>
    <row r="11" spans="1:21" ht="12.75" customHeight="1" x14ac:dyDescent="0.25">
      <c r="A11" s="974" t="s">
        <v>70</v>
      </c>
      <c r="B11" s="975"/>
      <c r="C11" s="975"/>
      <c r="D11" s="975"/>
      <c r="E11" s="976"/>
      <c r="F11" s="977" t="s">
        <v>235</v>
      </c>
      <c r="G11" s="975"/>
      <c r="H11" s="976"/>
      <c r="I11" s="893"/>
      <c r="J11" s="967"/>
      <c r="K11" s="968"/>
      <c r="L11" s="911" t="s">
        <v>244</v>
      </c>
      <c r="M11" s="911"/>
      <c r="N11" s="911"/>
      <c r="O11" s="911"/>
      <c r="P11" s="911"/>
      <c r="Q11" s="911"/>
      <c r="R11" s="963" t="str">
        <f>IF(Combat!V10=TRUE, Combat!W10, "")</f>
        <v/>
      </c>
      <c r="S11" s="963"/>
      <c r="T11" s="963" t="str">
        <f>IF(Combat!V10=TRUE, Combat!X10, "")</f>
        <v/>
      </c>
      <c r="U11" s="964"/>
    </row>
    <row r="12" spans="1:21" ht="12.75" customHeight="1" x14ac:dyDescent="0.25">
      <c r="A12" s="910" t="s">
        <v>102</v>
      </c>
      <c r="B12" s="911"/>
      <c r="C12" s="911"/>
      <c r="D12" s="911"/>
      <c r="E12" s="118">
        <f>total_attacks</f>
        <v>1</v>
      </c>
      <c r="F12" s="912" t="s">
        <v>58</v>
      </c>
      <c r="G12" s="911"/>
      <c r="H12" s="118">
        <f>save_coma</f>
        <v>0</v>
      </c>
      <c r="I12" s="893"/>
      <c r="J12" s="967"/>
      <c r="K12" s="968"/>
      <c r="L12" s="911" t="s">
        <v>204</v>
      </c>
      <c r="M12" s="911"/>
      <c r="N12" s="911"/>
      <c r="O12" s="911"/>
      <c r="P12" s="911"/>
      <c r="Q12" s="911"/>
      <c r="R12" s="963" t="str">
        <f>IF(Combat!V11=TRUE, Combat!W11, "")</f>
        <v/>
      </c>
      <c r="S12" s="963"/>
      <c r="T12" s="963" t="str">
        <f>IF(Combat!V11=TRUE, Combat!X11, "")</f>
        <v/>
      </c>
      <c r="U12" s="964"/>
    </row>
    <row r="13" spans="1:21" ht="12.75" customHeight="1" x14ac:dyDescent="0.25">
      <c r="A13" s="910" t="s">
        <v>74</v>
      </c>
      <c r="B13" s="911"/>
      <c r="C13" s="911"/>
      <c r="D13" s="911"/>
      <c r="E13" s="118">
        <f>total_initiative</f>
        <v>0</v>
      </c>
      <c r="F13" s="912" t="s">
        <v>144</v>
      </c>
      <c r="G13" s="911"/>
      <c r="H13" s="118">
        <f>save_poison</f>
        <v>0</v>
      </c>
      <c r="I13" s="893"/>
      <c r="J13" s="967"/>
      <c r="K13" s="968"/>
      <c r="L13" s="911" t="s">
        <v>205</v>
      </c>
      <c r="M13" s="911"/>
      <c r="N13" s="911"/>
      <c r="O13" s="911"/>
      <c r="P13" s="911"/>
      <c r="Q13" s="911"/>
      <c r="R13" s="963" t="str">
        <f>IF(Combat!V12=TRUE, Combat!W12, "")</f>
        <v/>
      </c>
      <c r="S13" s="963"/>
      <c r="T13" s="963" t="str">
        <f>IF(Combat!V12=TRUE, Combat!X12, "")</f>
        <v/>
      </c>
      <c r="U13" s="964"/>
    </row>
    <row r="14" spans="1:21" ht="12.75" customHeight="1" x14ac:dyDescent="0.25">
      <c r="A14" s="910" t="s">
        <v>75</v>
      </c>
      <c r="B14" s="911"/>
      <c r="C14" s="911"/>
      <c r="D14" s="911"/>
      <c r="E14" s="118">
        <f>total_strike</f>
        <v>0</v>
      </c>
      <c r="F14" s="912" t="s">
        <v>146</v>
      </c>
      <c r="G14" s="911"/>
      <c r="H14" s="118">
        <f>save_hf</f>
        <v>0</v>
      </c>
      <c r="I14" s="893"/>
      <c r="J14" s="967"/>
      <c r="K14" s="968"/>
      <c r="L14" s="911" t="s">
        <v>195</v>
      </c>
      <c r="M14" s="911"/>
      <c r="N14" s="911"/>
      <c r="O14" s="911"/>
      <c r="P14" s="911"/>
      <c r="Q14" s="911"/>
      <c r="R14" s="963" t="str">
        <f>IF(Combat!V13=TRUE, Combat!W13, "")</f>
        <v/>
      </c>
      <c r="S14" s="963"/>
      <c r="T14" s="963" t="str">
        <f>IF(Combat!V13=TRUE, Combat!X13, "")</f>
        <v/>
      </c>
      <c r="U14" s="964"/>
    </row>
    <row r="15" spans="1:21" ht="12.75" customHeight="1" x14ac:dyDescent="0.25">
      <c r="A15" s="910" t="s">
        <v>76</v>
      </c>
      <c r="B15" s="911"/>
      <c r="C15" s="911"/>
      <c r="D15" s="911"/>
      <c r="E15" s="118">
        <f>total_parry</f>
        <v>0</v>
      </c>
      <c r="F15" s="912" t="s">
        <v>248</v>
      </c>
      <c r="G15" s="911"/>
      <c r="H15" s="118">
        <f>save_element</f>
        <v>0</v>
      </c>
      <c r="I15" s="893"/>
      <c r="J15" s="967"/>
      <c r="K15" s="968"/>
      <c r="L15" s="911" t="s">
        <v>197</v>
      </c>
      <c r="M15" s="911"/>
      <c r="N15" s="911"/>
      <c r="O15" s="911"/>
      <c r="P15" s="911"/>
      <c r="Q15" s="911"/>
      <c r="R15" s="963" t="str">
        <f>IF(Combat!V14=TRUE, Combat!W14, "")</f>
        <v/>
      </c>
      <c r="S15" s="963"/>
      <c r="T15" s="963" t="str">
        <f>IF(Combat!V14=TRUE, Combat!X14, "")</f>
        <v/>
      </c>
      <c r="U15" s="964"/>
    </row>
    <row r="16" spans="1:21" ht="12.75" customHeight="1" x14ac:dyDescent="0.25">
      <c r="A16" s="910" t="s">
        <v>77</v>
      </c>
      <c r="B16" s="911"/>
      <c r="C16" s="911"/>
      <c r="D16" s="911"/>
      <c r="E16" s="118">
        <f>total_dodge</f>
        <v>0</v>
      </c>
      <c r="F16" s="912" t="s">
        <v>62</v>
      </c>
      <c r="G16" s="911"/>
      <c r="H16" s="118">
        <f>save_psi</f>
        <v>0</v>
      </c>
      <c r="I16" s="893"/>
      <c r="J16" s="967"/>
      <c r="K16" s="968"/>
      <c r="L16" s="911" t="s">
        <v>198</v>
      </c>
      <c r="M16" s="911"/>
      <c r="N16" s="911"/>
      <c r="O16" s="911"/>
      <c r="P16" s="911"/>
      <c r="Q16" s="911"/>
      <c r="R16" s="963" t="str">
        <f>IF(Combat!V15=TRUE, Combat!W15, "")</f>
        <v/>
      </c>
      <c r="S16" s="963"/>
      <c r="T16" s="963" t="str">
        <f>IF(Combat!V15=TRUE, Combat!X15, "")</f>
        <v/>
      </c>
      <c r="U16" s="964"/>
    </row>
    <row r="17" spans="1:23" ht="12.75" customHeight="1" x14ac:dyDescent="0.25">
      <c r="A17" s="910" t="s">
        <v>78</v>
      </c>
      <c r="B17" s="911"/>
      <c r="C17" s="911"/>
      <c r="D17" s="911"/>
      <c r="E17" s="118">
        <f>total_roll</f>
        <v>0</v>
      </c>
      <c r="F17" s="912" t="s">
        <v>63</v>
      </c>
      <c r="G17" s="911"/>
      <c r="H17" s="118">
        <f>save_magic</f>
        <v>0</v>
      </c>
      <c r="I17" s="893"/>
      <c r="J17" s="967"/>
      <c r="K17" s="968"/>
      <c r="L17" s="911" t="s">
        <v>201</v>
      </c>
      <c r="M17" s="911"/>
      <c r="N17" s="911"/>
      <c r="O17" s="911"/>
      <c r="P17" s="911"/>
      <c r="Q17" s="911"/>
      <c r="R17" s="963" t="str">
        <f>IF(Combat!V16=TRUE, Combat!W16, "")</f>
        <v/>
      </c>
      <c r="S17" s="963"/>
      <c r="T17" s="963" t="str">
        <f>IF(Combat!V16=TRUE, Combat!X16, "")</f>
        <v/>
      </c>
      <c r="U17" s="964"/>
    </row>
    <row r="18" spans="1:23" ht="12.75" customHeight="1" x14ac:dyDescent="0.25">
      <c r="A18" s="910" t="s">
        <v>79</v>
      </c>
      <c r="B18" s="911"/>
      <c r="C18" s="911"/>
      <c r="D18" s="911"/>
      <c r="E18" s="118">
        <f>total_pull</f>
        <v>0</v>
      </c>
      <c r="F18" s="912" t="s">
        <v>247</v>
      </c>
      <c r="G18" s="911"/>
      <c r="H18" s="118">
        <f>save_faerie</f>
        <v>0</v>
      </c>
      <c r="I18" s="893"/>
      <c r="J18" s="967"/>
      <c r="K18" s="968"/>
      <c r="L18" s="911" t="s">
        <v>202</v>
      </c>
      <c r="M18" s="911"/>
      <c r="N18" s="911"/>
      <c r="O18" s="911"/>
      <c r="P18" s="911"/>
      <c r="Q18" s="911"/>
      <c r="R18" s="963" t="str">
        <f>IF(Combat!V17=TRUE, Combat!W17, "")</f>
        <v/>
      </c>
      <c r="S18" s="963"/>
      <c r="T18" s="963" t="str">
        <f>IF(Combat!V17=TRUE, Combat!X17, "")</f>
        <v/>
      </c>
      <c r="U18" s="964"/>
    </row>
    <row r="19" spans="1:23" ht="12.75" customHeight="1" x14ac:dyDescent="0.25">
      <c r="A19" s="910" t="s">
        <v>80</v>
      </c>
      <c r="B19" s="911"/>
      <c r="C19" s="911"/>
      <c r="D19" s="911"/>
      <c r="E19" s="118">
        <f>total_damage</f>
        <v>0</v>
      </c>
      <c r="F19" s="912" t="s">
        <v>61</v>
      </c>
      <c r="G19" s="911"/>
      <c r="H19" s="118">
        <f>save_possess</f>
        <v>0</v>
      </c>
      <c r="I19" s="893"/>
      <c r="J19" s="967"/>
      <c r="K19" s="968"/>
      <c r="L19" s="911" t="s">
        <v>196</v>
      </c>
      <c r="M19" s="911"/>
      <c r="N19" s="911"/>
      <c r="O19" s="911"/>
      <c r="P19" s="911"/>
      <c r="Q19" s="911"/>
      <c r="R19" s="963" t="str">
        <f>IF(Combat!V18=TRUE, Combat!W18, "")</f>
        <v/>
      </c>
      <c r="S19" s="963"/>
      <c r="T19" s="965" t="s">
        <v>105</v>
      </c>
      <c r="U19" s="966"/>
    </row>
    <row r="20" spans="1:23" ht="12.75" customHeight="1" x14ac:dyDescent="0.25">
      <c r="A20" s="910" t="s">
        <v>81</v>
      </c>
      <c r="B20" s="911"/>
      <c r="C20" s="911"/>
      <c r="D20" s="911"/>
      <c r="E20" s="118">
        <f>crit</f>
        <v>20</v>
      </c>
      <c r="F20" s="912" t="s">
        <v>66</v>
      </c>
      <c r="G20" s="911"/>
      <c r="H20" s="118">
        <f>save_insane</f>
        <v>0</v>
      </c>
      <c r="I20" s="893"/>
      <c r="J20" s="967"/>
      <c r="K20" s="968"/>
      <c r="L20" s="911" t="s">
        <v>216</v>
      </c>
      <c r="M20" s="911"/>
      <c r="N20" s="911"/>
      <c r="O20" s="911"/>
      <c r="P20" s="911"/>
      <c r="Q20" s="911"/>
      <c r="R20" s="963" t="str">
        <f>IF(Combat!V19=TRUE, Combat!W19, "")</f>
        <v/>
      </c>
      <c r="S20" s="963"/>
      <c r="T20" s="965" t="s">
        <v>105</v>
      </c>
      <c r="U20" s="966"/>
    </row>
    <row r="21" spans="1:23" ht="12.75" customHeight="1" x14ac:dyDescent="0.25">
      <c r="A21" s="910" t="s">
        <v>82</v>
      </c>
      <c r="B21" s="911"/>
      <c r="C21" s="911"/>
      <c r="D21" s="911"/>
      <c r="E21" s="118" t="str">
        <f>IF(ko="", "", ko)</f>
        <v/>
      </c>
      <c r="F21" s="912" t="s">
        <v>145</v>
      </c>
      <c r="G21" s="911"/>
      <c r="H21" s="118">
        <f>save_disease</f>
        <v>0</v>
      </c>
      <c r="I21" s="893"/>
      <c r="J21" s="967"/>
      <c r="K21" s="968"/>
      <c r="L21" s="911" t="s">
        <v>203</v>
      </c>
      <c r="M21" s="911"/>
      <c r="N21" s="911"/>
      <c r="O21" s="911"/>
      <c r="P21" s="911"/>
      <c r="Q21" s="911"/>
      <c r="R21" s="963" t="str">
        <f>IF(Combat!V20=TRUE, Combat!W20, "")</f>
        <v/>
      </c>
      <c r="S21" s="963"/>
      <c r="T21" s="965" t="s">
        <v>105</v>
      </c>
      <c r="U21" s="966"/>
    </row>
    <row r="22" spans="1:23" ht="12.75" customHeight="1" x14ac:dyDescent="0.25">
      <c r="A22" s="910" t="s">
        <v>83</v>
      </c>
      <c r="B22" s="911"/>
      <c r="C22" s="911"/>
      <c r="D22" s="911"/>
      <c r="E22" s="118" t="str">
        <f>IF(db="", "", db)</f>
        <v/>
      </c>
      <c r="F22" s="912" t="s">
        <v>249</v>
      </c>
      <c r="G22" s="911"/>
      <c r="H22" s="118">
        <f>save_illusion</f>
        <v>0</v>
      </c>
      <c r="I22" s="893"/>
      <c r="J22" s="967"/>
      <c r="K22" s="968"/>
      <c r="L22" s="911" t="s">
        <v>213</v>
      </c>
      <c r="M22" s="911"/>
      <c r="N22" s="911"/>
      <c r="O22" s="911"/>
      <c r="P22" s="911"/>
      <c r="Q22" s="911"/>
      <c r="R22" s="963" t="str">
        <f>IF(Combat!V21=TRUE, Combat!W21, "")</f>
        <v/>
      </c>
      <c r="S22" s="963"/>
      <c r="T22" s="965" t="s">
        <v>105</v>
      </c>
      <c r="U22" s="966"/>
    </row>
    <row r="23" spans="1:23" ht="12.75" customHeight="1" thickBot="1" x14ac:dyDescent="0.3">
      <c r="A23" s="927" t="s">
        <v>677</v>
      </c>
      <c r="B23" s="928"/>
      <c r="C23" s="928"/>
      <c r="D23" s="928"/>
      <c r="E23" s="209" t="str">
        <f>IF(VLOOKUP(hand_to_hand&amp;" "&amp;calc_lev, hth_bonus, 13, FALSE)=0, "", (VLOOKUP(hand_to_hand&amp;" "&amp;calc_lev, hth_bonus, 13, FALSE)))</f>
        <v/>
      </c>
      <c r="F23" s="925" t="s">
        <v>250</v>
      </c>
      <c r="G23" s="926"/>
      <c r="H23" s="119">
        <f>save_control</f>
        <v>0</v>
      </c>
      <c r="I23" s="893"/>
      <c r="J23" s="981"/>
      <c r="K23" s="982"/>
      <c r="L23" s="928" t="s">
        <v>242</v>
      </c>
      <c r="M23" s="928"/>
      <c r="N23" s="928"/>
      <c r="O23" s="928"/>
      <c r="P23" s="928"/>
      <c r="Q23" s="928"/>
      <c r="R23" s="932" t="str">
        <f>IF(Combat!V22=TRUE, Combat!W22, "")</f>
        <v/>
      </c>
      <c r="S23" s="932"/>
      <c r="T23" s="933" t="s">
        <v>105</v>
      </c>
      <c r="U23" s="934"/>
    </row>
    <row r="24" spans="1:23" ht="3.75" customHeight="1" thickBot="1" x14ac:dyDescent="0.3">
      <c r="A24" s="894"/>
      <c r="B24" s="894"/>
      <c r="C24" s="894"/>
      <c r="D24" s="894"/>
      <c r="E24" s="894"/>
      <c r="F24" s="894"/>
      <c r="G24" s="894"/>
      <c r="H24" s="894"/>
      <c r="I24" s="894"/>
      <c r="J24" s="894"/>
      <c r="K24" s="894"/>
      <c r="L24" s="894"/>
      <c r="M24" s="894"/>
      <c r="N24" s="894"/>
      <c r="O24" s="894"/>
      <c r="P24" s="894"/>
      <c r="Q24" s="894"/>
      <c r="R24" s="894"/>
      <c r="S24" s="894"/>
      <c r="T24" s="894"/>
      <c r="U24" s="894"/>
    </row>
    <row r="25" spans="1:23" ht="12.75" customHeight="1" thickBot="1" x14ac:dyDescent="0.3">
      <c r="A25" s="929" t="s">
        <v>233</v>
      </c>
      <c r="B25" s="930"/>
      <c r="C25" s="930"/>
      <c r="D25" s="930"/>
      <c r="E25" s="930"/>
      <c r="F25" s="930"/>
      <c r="G25" s="930"/>
      <c r="H25" s="930"/>
      <c r="I25" s="930"/>
      <c r="J25" s="930"/>
      <c r="K25" s="930"/>
      <c r="L25" s="930"/>
      <c r="M25" s="930"/>
      <c r="N25" s="930"/>
      <c r="O25" s="930"/>
      <c r="P25" s="930"/>
      <c r="Q25" s="930"/>
      <c r="R25" s="930"/>
      <c r="S25" s="930"/>
      <c r="T25" s="930"/>
      <c r="U25" s="931"/>
    </row>
    <row r="26" spans="1:23" ht="12.75" customHeight="1" x14ac:dyDescent="0.25">
      <c r="A26" s="937"/>
      <c r="B26" s="938"/>
      <c r="C26" s="938"/>
      <c r="D26" s="938"/>
      <c r="E26" s="938"/>
      <c r="F26" s="938"/>
      <c r="G26" s="938"/>
      <c r="H26" s="239" t="s">
        <v>75</v>
      </c>
      <c r="I26" s="935" t="str">
        <f>IF(COUNTIF(skill_select, A26)=0, "", IF(INDEX(wp_strike, MATCH(A26, strike_col, 0), MATCH(calc_lev-(VLOOKUP(A26, wp_search, 10, FALSE))+1, strike_row, 0))=0, "", (INDEX(wp_strike, MATCH(A26, strike_col, 0), MATCH(calc_lev-(VLOOKUP(A26, wp_search, 10, FALSE))+1, strike_row, 0)))))</f>
        <v/>
      </c>
      <c r="J26" s="935"/>
      <c r="K26" s="935"/>
      <c r="L26" s="980" t="s">
        <v>76</v>
      </c>
      <c r="M26" s="980"/>
      <c r="N26" s="997" t="str">
        <f>IF(COUNTIF(skill_select, A26)=0, "", IF(INDEX(wp_parry, MATCH(A26, parry_col, 0), MATCH(calc_lev-(VLOOKUP(A26, wp_search, 10, FALSE))+1, parry_row, 0))=0, "", INDEX(wp_parry, MATCH(A26, parry_col, 0), MATCH(calc_lev-(VLOOKUP(A26, wp_search, 10, FALSE))+1, parry_row, 0))))</f>
        <v/>
      </c>
      <c r="O26" s="998"/>
      <c r="P26" s="999"/>
      <c r="Q26" s="506" t="str">
        <f>IF(COUNTIF(skill_select, A26)=0, "", IF(VLOOKUP(A26, special_search, 2, FALSE)="", "", (VLOOKUP(A26, special_search, 2, FALSE))))</f>
        <v/>
      </c>
      <c r="R26" s="508" t="str">
        <f>IF(COUNTIF(skill_select, A26)=0, "", IF(INDEX(wp_special, MATCH(A26, special_col, 0), MATCH(calc_lev-(VLOOKUP(A26, wp_search, 10, FALSE))+1, special_row, 0))="", "", INDEX(wp_special, MATCH(A26, special_col, 0), MATCH(calc_lev-(VLOOKUP(A26, wp_search, 10, FALSE))+1, special_row, 0))))</f>
        <v/>
      </c>
      <c r="S26" s="980" t="str">
        <f>IF(COUNTIF(skill_select, A26)=0, "", IF(VLOOKUP(A26, feature_search, 2, FALSE)="", "", (VLOOKUP(A26, feature_search, 2, FALSE))))</f>
        <v/>
      </c>
      <c r="T26" s="980"/>
      <c r="U26" s="240" t="str">
        <f>IF(COUNTIF(skill_select, A26)=0, "", IF(INDEX(wp_features, MATCH(A26, feature_col, 0), MATCH(calc_lev-(VLOOKUP(A26, wp_search, 10, FALSE))+1, feature_row, 0))="", "", INDEX(wp_features, MATCH(A26, feature_col, 0), MATCH(calc_lev-(VLOOKUP(A26, wp_search, 10, FALSE))+1, feature_row, 0))))</f>
        <v/>
      </c>
    </row>
    <row r="27" spans="1:23" ht="12.75" customHeight="1" x14ac:dyDescent="0.25">
      <c r="A27" s="939"/>
      <c r="B27" s="940"/>
      <c r="C27" s="940"/>
      <c r="D27" s="940"/>
      <c r="E27" s="940"/>
      <c r="F27" s="940"/>
      <c r="G27" s="940"/>
      <c r="H27" s="235" t="s">
        <v>75</v>
      </c>
      <c r="I27" s="935" t="str">
        <f>IF(COUNTIF(skill_select, A27)=0, "", IF(INDEX(wp_strike, MATCH(A27, strike_col, 0), MATCH(calc_lev-(VLOOKUP(A27, wp_search, 10, FALSE))+1, strike_row, 0))=0, "", (INDEX(wp_strike, MATCH(A27, strike_col, 0), MATCH(calc_lev-(VLOOKUP(A27, wp_search, 10, FALSE))+1, strike_row, 0)))))</f>
        <v/>
      </c>
      <c r="J27" s="935"/>
      <c r="K27" s="935"/>
      <c r="L27" s="911" t="s">
        <v>76</v>
      </c>
      <c r="M27" s="911"/>
      <c r="N27" s="913" t="str">
        <f>IF(COUNTIF(skill_select, A27)=0, "", IF(INDEX(wp_parry, MATCH(A27, parry_col, 0), MATCH(calc_lev-(VLOOKUP(A27, wp_search, 10, FALSE))+1, parry_row, 0))=0, "", INDEX(wp_parry, MATCH(A27, parry_col, 0), MATCH(calc_lev-(VLOOKUP(A27, wp_search, 10, FALSE))+1, parry_row, 0))))</f>
        <v/>
      </c>
      <c r="O27" s="914"/>
      <c r="P27" s="915"/>
      <c r="Q27" s="507" t="str">
        <f>IF(COUNTIF(skill_select, A27)=0, "", IF(VLOOKUP(A27, special_search, 2, FALSE)="", "", (VLOOKUP(A27, special_search, 2, FALSE))))</f>
        <v/>
      </c>
      <c r="R27" s="237" t="str">
        <f>IF(COUNTIF(skill_select, A27)=0, "", IF(INDEX(wp_special, MATCH(A27, special_col, 0), MATCH(calc_lev-(VLOOKUP(A27, wp_search, 10, FALSE))+1, special_row, 0))="", "", INDEX(wp_special, MATCH(A27, special_col, 0), MATCH(calc_lev-(VLOOKUP(A27, wp_search, 10, FALSE))+1, special_row, 0))))</f>
        <v/>
      </c>
      <c r="S27" s="911" t="str">
        <f>IF(COUNTIF(skill_select, A27)=0, "", IF(VLOOKUP(A27, feature_search, 2, FALSE)="", "", (VLOOKUP(A27, feature_search, 2, FALSE))))</f>
        <v/>
      </c>
      <c r="T27" s="911"/>
      <c r="U27" s="118" t="str">
        <f>IF(COUNTIF(skill_select, A27)=0, "", IF(INDEX(wp_features, MATCH(A27, feature_col, 0), MATCH(calc_lev-(VLOOKUP(A27, wp_search, 10, FALSE))+1, feature_row, 0))="", "", INDEX(wp_features, MATCH(A27, feature_col, 0), MATCH(calc_lev-(VLOOKUP(A27, wp_search, 10, FALSE))+1, feature_row, 0))))</f>
        <v/>
      </c>
    </row>
    <row r="28" spans="1:23" ht="12.75" customHeight="1" x14ac:dyDescent="0.25">
      <c r="A28" s="939"/>
      <c r="B28" s="940"/>
      <c r="C28" s="940"/>
      <c r="D28" s="940"/>
      <c r="E28" s="940"/>
      <c r="F28" s="940"/>
      <c r="G28" s="940"/>
      <c r="H28" s="235" t="s">
        <v>75</v>
      </c>
      <c r="I28" s="935" t="str">
        <f>IF(COUNTIF(skill_select, A28)=0, "", IF(INDEX(wp_strike, MATCH(A28, strike_col, 0), MATCH(calc_lev-(VLOOKUP(A28, wp_search, 10, FALSE))+1, strike_row, 0))=0, "", (INDEX(wp_strike, MATCH(A28, strike_col, 0), MATCH(calc_lev-(VLOOKUP(A28, wp_search, 10, FALSE))+1, strike_row, 0)))))</f>
        <v/>
      </c>
      <c r="J28" s="935"/>
      <c r="K28" s="935"/>
      <c r="L28" s="911" t="s">
        <v>76</v>
      </c>
      <c r="M28" s="911"/>
      <c r="N28" s="913" t="str">
        <f>IF(COUNTIF(skill_select, A28)=0, "", IF(INDEX(wp_parry, MATCH(A28, parry_col, 0), MATCH(calc_lev-(VLOOKUP(A28, wp_search, 10, FALSE))+1, parry_row, 0))=0, "", INDEX(wp_parry, MATCH(A28, parry_col, 0), MATCH(calc_lev-(VLOOKUP(A28, wp_search, 10, FALSE))+1, parry_row, 0))))</f>
        <v/>
      </c>
      <c r="O28" s="914"/>
      <c r="P28" s="915"/>
      <c r="Q28" s="507" t="str">
        <f>IF(COUNTIF(skill_select, A28)=0, "", IF(VLOOKUP(A28, special_search, 2, FALSE)="", "", (VLOOKUP(A28, special_search, 2, FALSE))))</f>
        <v/>
      </c>
      <c r="R28" s="237" t="str">
        <f>IF(COUNTIF(skill_select, A28)=0, "", IF(INDEX(wp_special, MATCH(A28, special_col, 0), MATCH(calc_lev-(VLOOKUP(A28, wp_search, 10, FALSE))+1, special_row, 0))="", "", INDEX(wp_special, MATCH(A28, special_col, 0), MATCH(calc_lev-(VLOOKUP(A28, wp_search, 10, FALSE))+1, special_row, 0))))</f>
        <v/>
      </c>
      <c r="S28" s="911" t="str">
        <f>IF(COUNTIF(skill_select, A28)=0, "", IF(VLOOKUP(A28, feature_search, 2, FALSE)="", "", (VLOOKUP(A28, feature_search, 2, FALSE))))</f>
        <v/>
      </c>
      <c r="T28" s="911"/>
      <c r="U28" s="118" t="str">
        <f>IF(COUNTIF(skill_select, A28)=0, "", IF(INDEX(wp_features, MATCH(A28, feature_col, 0), MATCH(calc_lev-(VLOOKUP(A28, wp_search, 10, FALSE))+1, feature_row, 0))="", "", INDEX(wp_features, MATCH(A28, feature_col, 0), MATCH(calc_lev-(VLOOKUP(A28, wp_search, 10, FALSE))+1, feature_row, 0))))</f>
        <v/>
      </c>
    </row>
    <row r="29" spans="1:23" ht="12.75" customHeight="1" x14ac:dyDescent="0.25">
      <c r="A29" s="939"/>
      <c r="B29" s="940"/>
      <c r="C29" s="940"/>
      <c r="D29" s="940"/>
      <c r="E29" s="940"/>
      <c r="F29" s="940"/>
      <c r="G29" s="940"/>
      <c r="H29" s="235" t="s">
        <v>75</v>
      </c>
      <c r="I29" s="935" t="str">
        <f>IF(COUNTIF(skill_select, A29)=0, "", IF(INDEX(wp_strike, MATCH(A29, strike_col, 0), MATCH(calc_lev-(VLOOKUP(A29, wp_search, 10, FALSE))+1, strike_row, 0))=0, "", (INDEX(wp_strike, MATCH(A29, strike_col, 0), MATCH(calc_lev-(VLOOKUP(A29, wp_search, 10, FALSE))+1, strike_row, 0)))))</f>
        <v/>
      </c>
      <c r="J29" s="935"/>
      <c r="K29" s="935"/>
      <c r="L29" s="911" t="s">
        <v>76</v>
      </c>
      <c r="M29" s="911"/>
      <c r="N29" s="913" t="str">
        <f>IF(COUNTIF(skill_select, A29)=0, "", IF(INDEX(wp_parry, MATCH(A29, parry_col, 0), MATCH(calc_lev-(VLOOKUP(A29, wp_search, 10, FALSE))+1, parry_row, 0))=0, "", INDEX(wp_parry, MATCH(A29, parry_col, 0), MATCH(calc_lev-(VLOOKUP(A29, wp_search, 10, FALSE))+1, parry_row, 0))))</f>
        <v/>
      </c>
      <c r="O29" s="914"/>
      <c r="P29" s="915"/>
      <c r="Q29" s="507" t="str">
        <f>IF(COUNTIF(skill_select, A29)=0, "", IF(VLOOKUP(A29, special_search, 2, FALSE)="", "", (VLOOKUP(A29, special_search, 2, FALSE))))</f>
        <v/>
      </c>
      <c r="R29" s="237" t="str">
        <f>IF(COUNTIF(skill_select, A29)=0, "", IF(INDEX(wp_special, MATCH(A29, special_col, 0), MATCH(calc_lev-(VLOOKUP(A29, wp_search, 10, FALSE))+1, special_row, 0))="", "", INDEX(wp_special, MATCH(A29, special_col, 0), MATCH(calc_lev-(VLOOKUP(A29, wp_search, 10, FALSE))+1, special_row, 0))))</f>
        <v/>
      </c>
      <c r="S29" s="911" t="str">
        <f>IF(COUNTIF(skill_select, A29)=0, "", IF(VLOOKUP(A29, feature_search, 2, FALSE)="", "", (VLOOKUP(A29, feature_search, 2, FALSE))))</f>
        <v/>
      </c>
      <c r="T29" s="911"/>
      <c r="U29" s="118" t="str">
        <f>IF(COUNTIF(skill_select, A29)=0, "", IF(INDEX(wp_features, MATCH(A29, feature_col, 0), MATCH(calc_lev-(VLOOKUP(A29, wp_search, 10, FALSE))+1, feature_row, 0))="", "", INDEX(wp_features, MATCH(A29, feature_col, 0), MATCH(calc_lev-(VLOOKUP(A29, wp_search, 10, FALSE))+1, feature_row, 0))))</f>
        <v/>
      </c>
    </row>
    <row r="30" spans="1:23" ht="12.75" customHeight="1" thickBot="1" x14ac:dyDescent="0.3">
      <c r="A30" s="991"/>
      <c r="B30" s="992"/>
      <c r="C30" s="992"/>
      <c r="D30" s="992"/>
      <c r="E30" s="992"/>
      <c r="F30" s="992"/>
      <c r="G30" s="992"/>
      <c r="H30" s="236" t="s">
        <v>75</v>
      </c>
      <c r="I30" s="936" t="str">
        <f>IF(COUNTIF(skill_select, A30)=0, "", IF(INDEX(wp_strike, MATCH(A30, strike_col, 0), MATCH(calc_lev-(VLOOKUP(A30, wp_search, 10, FALSE))+1, strike_row, 0))=0, "", (INDEX(wp_strike, MATCH(A30, strike_col, 0), MATCH(calc_lev-(VLOOKUP(A30, wp_search, 10, FALSE))+1, strike_row, 0)))))</f>
        <v/>
      </c>
      <c r="J30" s="936"/>
      <c r="K30" s="936"/>
      <c r="L30" s="928" t="s">
        <v>76</v>
      </c>
      <c r="M30" s="928"/>
      <c r="N30" s="916" t="str">
        <f>IF(COUNTIF(skill_select, A30)=0, "", IF(INDEX(wp_parry, MATCH(A30, parry_col, 0), MATCH(calc_lev-(VLOOKUP(A30, wp_search, 10, FALSE))+1, parry_row, 0))=0, "", INDEX(wp_parry, MATCH(A30, parry_col, 0), MATCH(calc_lev-(VLOOKUP(A30, wp_search, 10, FALSE))+1, parry_row, 0))))</f>
        <v/>
      </c>
      <c r="O30" s="917"/>
      <c r="P30" s="918"/>
      <c r="Q30" s="505" t="str">
        <f>IF(COUNTIF(skill_select, A30)=0, "", IF(VLOOKUP(A30, special_search, 2, FALSE)="", "", (VLOOKUP(A30, special_search, 2, FALSE))))</f>
        <v/>
      </c>
      <c r="R30" s="238" t="str">
        <f>IF(COUNTIF(skill_select, A30)=0, "", IF(INDEX(wp_special, MATCH(A30, special_col, 0), MATCH(calc_lev-(VLOOKUP(A30, wp_search, 10, FALSE))+1, special_row, 0))="", "", INDEX(wp_special, MATCH(A30, special_col, 0), MATCH(calc_lev-(VLOOKUP(A30, wp_search, 10, FALSE))+1, special_row, 0))))</f>
        <v/>
      </c>
      <c r="S30" s="928" t="str">
        <f>IF(COUNTIF(skill_select, A30)=0, "", IF(VLOOKUP(A30, feature_search, 2, FALSE)="", "", (VLOOKUP(A30, feature_search, 2, FALSE))))</f>
        <v/>
      </c>
      <c r="T30" s="928"/>
      <c r="U30" s="150" t="str">
        <f>IF(COUNTIF(skill_select, A30)=0, "", IF(INDEX(wp_features, MATCH(A30, feature_col, 0), MATCH(calc_lev-(VLOOKUP(A30, wp_search, 10, FALSE))+1, feature_row, 0))="", "", INDEX(wp_features, MATCH(A30, feature_col, 0), MATCH(calc_lev-(VLOOKUP(A30, wp_search, 10, FALSE))+1, feature_row, 0))))</f>
        <v/>
      </c>
    </row>
    <row r="31" spans="1:23" ht="3.75" customHeight="1" thickBot="1" x14ac:dyDescent="0.3">
      <c r="A31" s="894"/>
      <c r="B31" s="894"/>
      <c r="C31" s="894"/>
      <c r="D31" s="894"/>
      <c r="E31" s="894"/>
      <c r="F31" s="894"/>
      <c r="G31" s="894"/>
      <c r="H31" s="894"/>
      <c r="I31" s="894"/>
      <c r="J31" s="894"/>
      <c r="K31" s="894"/>
      <c r="L31" s="894"/>
      <c r="M31" s="894"/>
      <c r="N31" s="894"/>
      <c r="O31" s="894"/>
      <c r="P31" s="894"/>
      <c r="Q31" s="894"/>
      <c r="R31" s="894"/>
      <c r="S31" s="894"/>
      <c r="T31" s="894"/>
      <c r="U31" s="894"/>
    </row>
    <row r="32" spans="1:23" ht="12.75" customHeight="1" thickBot="1" x14ac:dyDescent="0.3">
      <c r="A32" s="929" t="s">
        <v>86</v>
      </c>
      <c r="B32" s="930"/>
      <c r="C32" s="930"/>
      <c r="D32" s="930"/>
      <c r="E32" s="930"/>
      <c r="F32" s="930"/>
      <c r="G32" s="930"/>
      <c r="H32" s="930"/>
      <c r="I32" s="930"/>
      <c r="J32" s="930"/>
      <c r="K32" s="930"/>
      <c r="L32" s="930"/>
      <c r="M32" s="930"/>
      <c r="N32" s="930"/>
      <c r="O32" s="930"/>
      <c r="P32" s="930"/>
      <c r="Q32" s="930"/>
      <c r="R32" s="930"/>
      <c r="S32" s="930"/>
      <c r="T32" s="930"/>
      <c r="U32" s="931"/>
      <c r="W32" s="1"/>
    </row>
    <row r="33" spans="1:23" ht="12.75" customHeight="1" x14ac:dyDescent="0.25">
      <c r="A33" s="230"/>
      <c r="B33" s="924" t="s">
        <v>84</v>
      </c>
      <c r="C33" s="903"/>
      <c r="D33" s="988"/>
      <c r="E33" s="988"/>
      <c r="F33" s="988"/>
      <c r="G33" s="49" t="s">
        <v>87</v>
      </c>
      <c r="H33" s="52"/>
      <c r="I33" s="59" t="s">
        <v>73</v>
      </c>
      <c r="J33" s="60"/>
      <c r="K33" s="58"/>
      <c r="L33" s="993"/>
      <c r="M33" s="994"/>
      <c r="N33" s="989" t="s">
        <v>88</v>
      </c>
      <c r="O33" s="989"/>
      <c r="P33" s="989"/>
      <c r="Q33" s="989"/>
      <c r="R33" s="988"/>
      <c r="S33" s="988"/>
      <c r="T33" s="988"/>
      <c r="U33" s="990"/>
      <c r="W33" s="1"/>
    </row>
    <row r="34" spans="1:23" ht="12.75" customHeight="1" x14ac:dyDescent="0.25">
      <c r="A34" s="231"/>
      <c r="B34" s="907" t="s">
        <v>251</v>
      </c>
      <c r="C34" s="908"/>
      <c r="D34" s="909"/>
      <c r="E34" s="983"/>
      <c r="F34" s="984"/>
      <c r="G34" s="984"/>
      <c r="H34" s="984"/>
      <c r="I34" s="984"/>
      <c r="J34" s="984"/>
      <c r="K34" s="984"/>
      <c r="L34" s="984"/>
      <c r="M34" s="984"/>
      <c r="N34" s="984"/>
      <c r="O34" s="984"/>
      <c r="P34" s="984"/>
      <c r="Q34" s="984"/>
      <c r="R34" s="984"/>
      <c r="S34" s="984"/>
      <c r="T34" s="984"/>
      <c r="U34" s="985"/>
      <c r="W34" s="1"/>
    </row>
    <row r="35" spans="1:23" ht="12.75" customHeight="1" x14ac:dyDescent="0.25">
      <c r="A35" s="231"/>
      <c r="B35" s="907" t="s">
        <v>252</v>
      </c>
      <c r="C35" s="908"/>
      <c r="D35" s="909"/>
      <c r="E35" s="983"/>
      <c r="F35" s="984"/>
      <c r="G35" s="984"/>
      <c r="H35" s="984"/>
      <c r="I35" s="984"/>
      <c r="J35" s="984"/>
      <c r="K35" s="984"/>
      <c r="L35" s="984"/>
      <c r="M35" s="984"/>
      <c r="N35" s="984"/>
      <c r="O35" s="984"/>
      <c r="P35" s="984"/>
      <c r="Q35" s="984"/>
      <c r="R35" s="984"/>
      <c r="S35" s="984"/>
      <c r="T35" s="984"/>
      <c r="U35" s="985"/>
      <c r="W35" s="1"/>
    </row>
    <row r="36" spans="1:23" ht="12.75" customHeight="1" x14ac:dyDescent="0.25">
      <c r="A36" s="231"/>
      <c r="B36" s="907" t="s">
        <v>253</v>
      </c>
      <c r="C36" s="908"/>
      <c r="D36" s="909"/>
      <c r="E36" s="983"/>
      <c r="F36" s="984"/>
      <c r="G36" s="984"/>
      <c r="H36" s="984"/>
      <c r="I36" s="984"/>
      <c r="J36" s="984"/>
      <c r="K36" s="984"/>
      <c r="L36" s="984"/>
      <c r="M36" s="984"/>
      <c r="N36" s="984"/>
      <c r="O36" s="984"/>
      <c r="P36" s="984"/>
      <c r="Q36" s="984"/>
      <c r="R36" s="984"/>
      <c r="S36" s="984"/>
      <c r="T36" s="984"/>
      <c r="U36" s="985"/>
      <c r="W36" s="1"/>
    </row>
    <row r="37" spans="1:23" ht="12.75" customHeight="1" thickBot="1" x14ac:dyDescent="0.3">
      <c r="A37" s="231"/>
      <c r="B37" s="898" t="s">
        <v>256</v>
      </c>
      <c r="C37" s="899"/>
      <c r="D37" s="900"/>
      <c r="E37" s="1003"/>
      <c r="F37" s="1004"/>
      <c r="G37" s="1004"/>
      <c r="H37" s="1004"/>
      <c r="I37" s="1004"/>
      <c r="J37" s="1004"/>
      <c r="K37" s="1004"/>
      <c r="L37" s="1004"/>
      <c r="M37" s="1004"/>
      <c r="N37" s="1004"/>
      <c r="O37" s="1004"/>
      <c r="P37" s="1004"/>
      <c r="Q37" s="1004"/>
      <c r="R37" s="1004"/>
      <c r="S37" s="1004"/>
      <c r="T37" s="1004"/>
      <c r="U37" s="1005"/>
      <c r="W37" s="1"/>
    </row>
    <row r="38" spans="1:23" ht="12.75" customHeight="1" thickBot="1" x14ac:dyDescent="0.3">
      <c r="A38" s="230"/>
      <c r="B38" s="995" t="s">
        <v>84</v>
      </c>
      <c r="C38" s="996"/>
      <c r="D38" s="986"/>
      <c r="E38" s="986"/>
      <c r="F38" s="986"/>
      <c r="G38" s="61" t="s">
        <v>87</v>
      </c>
      <c r="H38" s="68"/>
      <c r="I38" s="64" t="s">
        <v>73</v>
      </c>
      <c r="J38" s="65"/>
      <c r="K38" s="65"/>
      <c r="L38" s="1016"/>
      <c r="M38" s="1017"/>
      <c r="N38" s="1006" t="s">
        <v>88</v>
      </c>
      <c r="O38" s="1006"/>
      <c r="P38" s="1006"/>
      <c r="Q38" s="1006"/>
      <c r="R38" s="986"/>
      <c r="S38" s="986"/>
      <c r="T38" s="986"/>
      <c r="U38" s="987"/>
      <c r="W38" s="1"/>
    </row>
    <row r="39" spans="1:23" ht="12.75" customHeight="1" thickBot="1" x14ac:dyDescent="0.3">
      <c r="A39" s="232"/>
      <c r="B39" s="995" t="s">
        <v>84</v>
      </c>
      <c r="C39" s="996"/>
      <c r="D39" s="986"/>
      <c r="E39" s="986"/>
      <c r="F39" s="986"/>
      <c r="G39" s="61" t="s">
        <v>87</v>
      </c>
      <c r="H39" s="68"/>
      <c r="I39" s="64" t="s">
        <v>73</v>
      </c>
      <c r="J39" s="65"/>
      <c r="K39" s="65"/>
      <c r="L39" s="1016"/>
      <c r="M39" s="1017"/>
      <c r="N39" s="1006" t="s">
        <v>88</v>
      </c>
      <c r="O39" s="1006"/>
      <c r="P39" s="1006"/>
      <c r="Q39" s="1006"/>
      <c r="R39" s="986"/>
      <c r="S39" s="986"/>
      <c r="T39" s="986"/>
      <c r="U39" s="987"/>
      <c r="W39" s="1"/>
    </row>
    <row r="40" spans="1:23" ht="3.75" customHeight="1" thickBot="1" x14ac:dyDescent="0.3">
      <c r="A40" s="895"/>
      <c r="B40" s="895"/>
      <c r="C40" s="895"/>
      <c r="D40" s="895"/>
      <c r="E40" s="895"/>
      <c r="F40" s="895"/>
      <c r="G40" s="895"/>
      <c r="H40" s="895"/>
      <c r="I40" s="895"/>
      <c r="J40" s="895"/>
      <c r="K40" s="895"/>
      <c r="L40" s="895"/>
      <c r="M40" s="895"/>
      <c r="N40" s="895"/>
      <c r="O40" s="895"/>
      <c r="P40" s="895"/>
      <c r="Q40" s="895"/>
      <c r="R40" s="895"/>
      <c r="S40" s="895"/>
      <c r="T40" s="895"/>
      <c r="U40" s="895"/>
      <c r="W40" s="1"/>
    </row>
    <row r="41" spans="1:23" ht="12.75" customHeight="1" thickBot="1" x14ac:dyDescent="0.3">
      <c r="A41" s="1028" t="s">
        <v>234</v>
      </c>
      <c r="B41" s="1029"/>
      <c r="C41" s="1029"/>
      <c r="D41" s="1029"/>
      <c r="E41" s="1029"/>
      <c r="F41" s="1029"/>
      <c r="G41" s="1029"/>
      <c r="H41" s="1029"/>
      <c r="I41" s="1029"/>
      <c r="J41" s="1029"/>
      <c r="K41" s="1029"/>
      <c r="L41" s="1029"/>
      <c r="M41" s="1029"/>
      <c r="N41" s="1029"/>
      <c r="O41" s="1029"/>
      <c r="P41" s="1029"/>
      <c r="Q41" s="1029"/>
      <c r="R41" s="1029"/>
      <c r="S41" s="1029"/>
      <c r="T41" s="1029"/>
      <c r="U41" s="1030"/>
      <c r="W41" s="1"/>
    </row>
    <row r="42" spans="1:23" ht="12.75" customHeight="1" thickBot="1" x14ac:dyDescent="0.3">
      <c r="A42" s="56" t="s">
        <v>254</v>
      </c>
      <c r="B42" s="57" t="s">
        <v>255</v>
      </c>
      <c r="C42" s="1018" t="s">
        <v>260</v>
      </c>
      <c r="D42" s="1018"/>
      <c r="E42" s="1018"/>
      <c r="F42" s="1018"/>
      <c r="G42" s="1018"/>
      <c r="H42" s="1018"/>
      <c r="I42" s="1019" t="s">
        <v>266</v>
      </c>
      <c r="J42" s="1019"/>
      <c r="K42" s="1019"/>
      <c r="L42" s="1019"/>
      <c r="M42" s="1019"/>
      <c r="N42" s="1009"/>
      <c r="O42" s="919" t="s">
        <v>176</v>
      </c>
      <c r="P42" s="920"/>
      <c r="Q42" s="1008" t="s">
        <v>113</v>
      </c>
      <c r="R42" s="1009"/>
      <c r="S42" s="484" t="s">
        <v>75</v>
      </c>
      <c r="T42" s="484" t="s">
        <v>76</v>
      </c>
      <c r="U42" s="485" t="s">
        <v>85</v>
      </c>
      <c r="W42" s="1"/>
    </row>
    <row r="43" spans="1:23" ht="12.75" customHeight="1" x14ac:dyDescent="0.25">
      <c r="A43" s="222"/>
      <c r="B43" s="223"/>
      <c r="C43" s="1010" t="s">
        <v>84</v>
      </c>
      <c r="D43" s="1011"/>
      <c r="E43" s="1020"/>
      <c r="F43" s="1021"/>
      <c r="G43" s="1021"/>
      <c r="H43" s="1022"/>
      <c r="I43" s="1012"/>
      <c r="J43" s="1013"/>
      <c r="K43" s="1002" t="s">
        <v>267</v>
      </c>
      <c r="L43" s="1002"/>
      <c r="M43" s="1007"/>
      <c r="N43" s="1007"/>
      <c r="O43" s="493"/>
      <c r="P43" s="494" t="s">
        <v>752</v>
      </c>
      <c r="Q43" s="1001" t="s">
        <v>257</v>
      </c>
      <c r="R43" s="903"/>
      <c r="S43" s="52"/>
      <c r="T43" s="52"/>
      <c r="U43" s="53"/>
      <c r="W43" s="1"/>
    </row>
    <row r="44" spans="1:23" ht="12.75" customHeight="1" x14ac:dyDescent="0.25">
      <c r="A44" s="224"/>
      <c r="B44" s="225"/>
      <c r="C44" s="907" t="s">
        <v>655</v>
      </c>
      <c r="D44" s="908"/>
      <c r="E44" s="909"/>
      <c r="F44" s="921"/>
      <c r="G44" s="922"/>
      <c r="H44" s="922"/>
      <c r="I44" s="922"/>
      <c r="J44" s="922"/>
      <c r="K44" s="922"/>
      <c r="L44" s="922"/>
      <c r="M44" s="922"/>
      <c r="N44" s="922"/>
      <c r="O44" s="922"/>
      <c r="P44" s="923"/>
      <c r="Q44" s="1000" t="s">
        <v>63</v>
      </c>
      <c r="R44" s="909"/>
      <c r="S44" s="50"/>
      <c r="T44" s="50"/>
      <c r="U44" s="51"/>
      <c r="W44" s="1"/>
    </row>
    <row r="45" spans="1:23" ht="12.75" customHeight="1" x14ac:dyDescent="0.25">
      <c r="A45" s="224"/>
      <c r="B45" s="225"/>
      <c r="C45" s="907" t="s">
        <v>251</v>
      </c>
      <c r="D45" s="908"/>
      <c r="E45" s="909"/>
      <c r="F45" s="983"/>
      <c r="G45" s="984"/>
      <c r="H45" s="984"/>
      <c r="I45" s="984"/>
      <c r="J45" s="984"/>
      <c r="K45" s="984"/>
      <c r="L45" s="984"/>
      <c r="M45" s="984"/>
      <c r="N45" s="984"/>
      <c r="O45" s="984"/>
      <c r="P45" s="984"/>
      <c r="Q45" s="984"/>
      <c r="R45" s="984"/>
      <c r="S45" s="984"/>
      <c r="T45" s="984"/>
      <c r="U45" s="985"/>
      <c r="W45" s="1"/>
    </row>
    <row r="46" spans="1:23" ht="12.75" customHeight="1" x14ac:dyDescent="0.25">
      <c r="A46" s="224"/>
      <c r="B46" s="225"/>
      <c r="C46" s="851" t="s">
        <v>252</v>
      </c>
      <c r="D46" s="946"/>
      <c r="E46" s="946"/>
      <c r="F46" s="1026"/>
      <c r="G46" s="1026"/>
      <c r="H46" s="1026"/>
      <c r="I46" s="1026"/>
      <c r="J46" s="1026"/>
      <c r="K46" s="1026"/>
      <c r="L46" s="1026"/>
      <c r="M46" s="1026"/>
      <c r="N46" s="1026"/>
      <c r="O46" s="1026"/>
      <c r="P46" s="1026"/>
      <c r="Q46" s="1026"/>
      <c r="R46" s="1026"/>
      <c r="S46" s="1026"/>
      <c r="T46" s="1026"/>
      <c r="U46" s="1027"/>
      <c r="W46" s="1"/>
    </row>
    <row r="47" spans="1:23" ht="12.75" customHeight="1" thickBot="1" x14ac:dyDescent="0.3">
      <c r="A47" s="224"/>
      <c r="B47" s="225"/>
      <c r="C47" s="898" t="s">
        <v>253</v>
      </c>
      <c r="D47" s="899"/>
      <c r="E47" s="900"/>
      <c r="F47" s="905"/>
      <c r="G47" s="905"/>
      <c r="H47" s="905"/>
      <c r="I47" s="905"/>
      <c r="J47" s="905"/>
      <c r="K47" s="905"/>
      <c r="L47" s="905"/>
      <c r="M47" s="905"/>
      <c r="N47" s="905"/>
      <c r="O47" s="905"/>
      <c r="P47" s="905"/>
      <c r="Q47" s="905"/>
      <c r="R47" s="905"/>
      <c r="S47" s="905"/>
      <c r="T47" s="905"/>
      <c r="U47" s="906"/>
      <c r="W47" s="1"/>
    </row>
    <row r="48" spans="1:23" ht="12.75" customHeight="1" x14ac:dyDescent="0.25">
      <c r="A48" s="226"/>
      <c r="B48" s="223"/>
      <c r="C48" s="1010" t="s">
        <v>84</v>
      </c>
      <c r="D48" s="1011"/>
      <c r="E48" s="1020"/>
      <c r="F48" s="1021"/>
      <c r="G48" s="1021"/>
      <c r="H48" s="1022"/>
      <c r="I48" s="1013"/>
      <c r="J48" s="1013"/>
      <c r="K48" s="1002" t="s">
        <v>267</v>
      </c>
      <c r="L48" s="1002"/>
      <c r="M48" s="1007"/>
      <c r="N48" s="1033"/>
      <c r="O48" s="495"/>
      <c r="P48" s="496" t="s">
        <v>752</v>
      </c>
      <c r="Q48" s="902" t="s">
        <v>257</v>
      </c>
      <c r="R48" s="903"/>
      <c r="S48" s="52"/>
      <c r="T48" s="52"/>
      <c r="U48" s="53"/>
    </row>
    <row r="49" spans="1:21" ht="12.75" customHeight="1" x14ac:dyDescent="0.25">
      <c r="A49" s="224"/>
      <c r="B49" s="225"/>
      <c r="C49" s="907" t="s">
        <v>655</v>
      </c>
      <c r="D49" s="908"/>
      <c r="E49" s="909"/>
      <c r="F49" s="921"/>
      <c r="G49" s="922"/>
      <c r="H49" s="922"/>
      <c r="I49" s="922"/>
      <c r="J49" s="922"/>
      <c r="K49" s="922"/>
      <c r="L49" s="922"/>
      <c r="M49" s="922"/>
      <c r="N49" s="922"/>
      <c r="O49" s="922"/>
      <c r="P49" s="923"/>
      <c r="Q49" s="1000" t="s">
        <v>63</v>
      </c>
      <c r="R49" s="909"/>
      <c r="S49" s="50"/>
      <c r="T49" s="50"/>
      <c r="U49" s="51"/>
    </row>
    <row r="50" spans="1:21" ht="12.75" customHeight="1" x14ac:dyDescent="0.25">
      <c r="A50" s="224"/>
      <c r="B50" s="225"/>
      <c r="C50" s="907" t="s">
        <v>251</v>
      </c>
      <c r="D50" s="908"/>
      <c r="E50" s="909"/>
      <c r="F50" s="983"/>
      <c r="G50" s="984"/>
      <c r="H50" s="984"/>
      <c r="I50" s="984"/>
      <c r="J50" s="984"/>
      <c r="K50" s="984"/>
      <c r="L50" s="984"/>
      <c r="M50" s="984"/>
      <c r="N50" s="984"/>
      <c r="O50" s="984"/>
      <c r="P50" s="984"/>
      <c r="Q50" s="984"/>
      <c r="R50" s="984"/>
      <c r="S50" s="984"/>
      <c r="T50" s="984"/>
      <c r="U50" s="985"/>
    </row>
    <row r="51" spans="1:21" ht="12.75" customHeight="1" x14ac:dyDescent="0.25">
      <c r="A51" s="224"/>
      <c r="B51" s="225"/>
      <c r="C51" s="851" t="s">
        <v>252</v>
      </c>
      <c r="D51" s="946"/>
      <c r="E51" s="946"/>
      <c r="F51" s="1026"/>
      <c r="G51" s="1026"/>
      <c r="H51" s="1026"/>
      <c r="I51" s="1026"/>
      <c r="J51" s="1026"/>
      <c r="K51" s="1026"/>
      <c r="L51" s="1026"/>
      <c r="M51" s="1026"/>
      <c r="N51" s="1026"/>
      <c r="O51" s="1026"/>
      <c r="P51" s="1026"/>
      <c r="Q51" s="1026"/>
      <c r="R51" s="1026"/>
      <c r="S51" s="1026"/>
      <c r="T51" s="1026"/>
      <c r="U51" s="1027"/>
    </row>
    <row r="52" spans="1:21" ht="12.75" customHeight="1" thickBot="1" x14ac:dyDescent="0.3">
      <c r="A52" s="227"/>
      <c r="B52" s="225"/>
      <c r="C52" s="852" t="s">
        <v>253</v>
      </c>
      <c r="D52" s="904"/>
      <c r="E52" s="904"/>
      <c r="F52" s="905"/>
      <c r="G52" s="905"/>
      <c r="H52" s="905"/>
      <c r="I52" s="905"/>
      <c r="J52" s="905"/>
      <c r="K52" s="905"/>
      <c r="L52" s="905"/>
      <c r="M52" s="905"/>
      <c r="N52" s="905"/>
      <c r="O52" s="905"/>
      <c r="P52" s="905"/>
      <c r="Q52" s="905"/>
      <c r="R52" s="905"/>
      <c r="S52" s="905"/>
      <c r="T52" s="905"/>
      <c r="U52" s="906"/>
    </row>
    <row r="53" spans="1:21" ht="12.75" customHeight="1" x14ac:dyDescent="0.25">
      <c r="A53" s="226"/>
      <c r="B53" s="223"/>
      <c r="C53" s="1010" t="s">
        <v>84</v>
      </c>
      <c r="D53" s="1011"/>
      <c r="E53" s="1020"/>
      <c r="F53" s="1021"/>
      <c r="G53" s="1021"/>
      <c r="H53" s="1022"/>
      <c r="I53" s="1013"/>
      <c r="J53" s="1013"/>
      <c r="K53" s="1002" t="s">
        <v>267</v>
      </c>
      <c r="L53" s="1002"/>
      <c r="M53" s="1007"/>
      <c r="N53" s="1033"/>
      <c r="O53" s="495"/>
      <c r="P53" s="496" t="s">
        <v>752</v>
      </c>
      <c r="Q53" s="902" t="s">
        <v>257</v>
      </c>
      <c r="R53" s="903"/>
      <c r="S53" s="52"/>
      <c r="T53" s="52"/>
      <c r="U53" s="53"/>
    </row>
    <row r="54" spans="1:21" ht="12.75" customHeight="1" thickBot="1" x14ac:dyDescent="0.3">
      <c r="A54" s="227"/>
      <c r="B54" s="225"/>
      <c r="C54" s="898" t="s">
        <v>655</v>
      </c>
      <c r="D54" s="899"/>
      <c r="E54" s="900"/>
      <c r="F54" s="889"/>
      <c r="G54" s="890"/>
      <c r="H54" s="890"/>
      <c r="I54" s="890"/>
      <c r="J54" s="890"/>
      <c r="K54" s="890"/>
      <c r="L54" s="890"/>
      <c r="M54" s="890"/>
      <c r="N54" s="890"/>
      <c r="O54" s="890"/>
      <c r="P54" s="891"/>
      <c r="Q54" s="901" t="s">
        <v>63</v>
      </c>
      <c r="R54" s="900"/>
      <c r="S54" s="54"/>
      <c r="T54" s="54"/>
      <c r="U54" s="55"/>
    </row>
    <row r="55" spans="1:21" ht="12.75" customHeight="1" x14ac:dyDescent="0.25">
      <c r="A55" s="226"/>
      <c r="B55" s="223"/>
      <c r="C55" s="950" t="s">
        <v>84</v>
      </c>
      <c r="D55" s="945"/>
      <c r="E55" s="1023"/>
      <c r="F55" s="1024"/>
      <c r="G55" s="1024"/>
      <c r="H55" s="1025"/>
      <c r="I55" s="1031"/>
      <c r="J55" s="1031"/>
      <c r="K55" s="1032" t="s">
        <v>267</v>
      </c>
      <c r="L55" s="1032"/>
      <c r="M55" s="1014"/>
      <c r="N55" s="1015"/>
      <c r="O55" s="495"/>
      <c r="P55" s="496" t="s">
        <v>752</v>
      </c>
      <c r="Q55" s="896" t="s">
        <v>257</v>
      </c>
      <c r="R55" s="897"/>
      <c r="S55" s="211"/>
      <c r="T55" s="211"/>
      <c r="U55" s="212"/>
    </row>
    <row r="56" spans="1:21" ht="12.75" customHeight="1" thickBot="1" x14ac:dyDescent="0.3">
      <c r="A56" s="227"/>
      <c r="B56" s="225"/>
      <c r="C56" s="898" t="s">
        <v>655</v>
      </c>
      <c r="D56" s="899"/>
      <c r="E56" s="900"/>
      <c r="F56" s="889"/>
      <c r="G56" s="890"/>
      <c r="H56" s="890"/>
      <c r="I56" s="890"/>
      <c r="J56" s="890"/>
      <c r="K56" s="890"/>
      <c r="L56" s="890"/>
      <c r="M56" s="890"/>
      <c r="N56" s="890"/>
      <c r="O56" s="890"/>
      <c r="P56" s="891"/>
      <c r="Q56" s="901" t="s">
        <v>63</v>
      </c>
      <c r="R56" s="900"/>
      <c r="S56" s="54"/>
      <c r="T56" s="54"/>
      <c r="U56" s="55"/>
    </row>
    <row r="57" spans="1:21" ht="12.75" customHeight="1" x14ac:dyDescent="0.25">
      <c r="A57" s="226"/>
      <c r="B57" s="223"/>
      <c r="C57" s="950" t="s">
        <v>84</v>
      </c>
      <c r="D57" s="945"/>
      <c r="E57" s="1023"/>
      <c r="F57" s="1024"/>
      <c r="G57" s="1024"/>
      <c r="H57" s="1025"/>
      <c r="I57" s="1031"/>
      <c r="J57" s="1031"/>
      <c r="K57" s="1032" t="s">
        <v>267</v>
      </c>
      <c r="L57" s="1032"/>
      <c r="M57" s="1014"/>
      <c r="N57" s="1015"/>
      <c r="O57" s="495"/>
      <c r="P57" s="496" t="s">
        <v>752</v>
      </c>
      <c r="Q57" s="896" t="s">
        <v>257</v>
      </c>
      <c r="R57" s="897"/>
      <c r="S57" s="211"/>
      <c r="T57" s="211"/>
      <c r="U57" s="212"/>
    </row>
    <row r="58" spans="1:21" ht="12.75" customHeight="1" thickBot="1" x14ac:dyDescent="0.3">
      <c r="A58" s="228"/>
      <c r="B58" s="229"/>
      <c r="C58" s="898" t="s">
        <v>655</v>
      </c>
      <c r="D58" s="899"/>
      <c r="E58" s="900"/>
      <c r="F58" s="889"/>
      <c r="G58" s="890"/>
      <c r="H58" s="890"/>
      <c r="I58" s="890"/>
      <c r="J58" s="890"/>
      <c r="K58" s="890"/>
      <c r="L58" s="890"/>
      <c r="M58" s="890"/>
      <c r="N58" s="890"/>
      <c r="O58" s="890"/>
      <c r="P58" s="891"/>
      <c r="Q58" s="901" t="s">
        <v>63</v>
      </c>
      <c r="R58" s="900"/>
      <c r="S58" s="54"/>
      <c r="T58" s="54"/>
      <c r="U58" s="55"/>
    </row>
    <row r="59" spans="1:21" ht="12.75" customHeight="1" x14ac:dyDescent="0.25">
      <c r="B59" s="1"/>
      <c r="C59" s="1"/>
      <c r="D59" s="1"/>
      <c r="E59" s="1"/>
      <c r="F59" s="1"/>
      <c r="G59" s="1"/>
      <c r="H59" s="1"/>
      <c r="I59" s="1"/>
      <c r="J59" s="1"/>
      <c r="K59" s="1"/>
      <c r="L59" s="1"/>
      <c r="M59" s="1"/>
      <c r="N59" s="1"/>
      <c r="O59" s="1"/>
      <c r="P59" s="1"/>
      <c r="Q59" s="1"/>
      <c r="R59" s="1"/>
      <c r="S59" s="1"/>
      <c r="T59" s="1"/>
      <c r="U59" s="1"/>
    </row>
    <row r="60" spans="1:21" ht="12.75" customHeight="1" x14ac:dyDescent="0.25">
      <c r="O60" s="1"/>
      <c r="P60" s="1"/>
      <c r="Q60" s="1"/>
      <c r="R60" s="1"/>
      <c r="S60" s="1"/>
      <c r="T60" s="1"/>
      <c r="U60" s="1"/>
    </row>
    <row r="61" spans="1:21" ht="12.75" customHeight="1" x14ac:dyDescent="0.25">
      <c r="S61" s="1"/>
      <c r="T61" s="1"/>
      <c r="U61" s="1"/>
    </row>
    <row r="62" spans="1:21" ht="12.75" customHeight="1" x14ac:dyDescent="0.25">
      <c r="S62" s="1"/>
      <c r="T62" s="1"/>
      <c r="U62" s="1"/>
    </row>
    <row r="63" spans="1:21" ht="12.75" customHeight="1" x14ac:dyDescent="0.25">
      <c r="S63" s="1"/>
      <c r="T63" s="1"/>
    </row>
    <row r="64" spans="1:21" ht="12.75" customHeight="1" x14ac:dyDescent="0.25"/>
    <row r="65" ht="12.75" customHeight="1" x14ac:dyDescent="0.25"/>
    <row r="66" ht="12.75" customHeight="1" x14ac:dyDescent="0.25"/>
    <row r="67" ht="12.75" customHeight="1" x14ac:dyDescent="0.25"/>
    <row r="68" ht="12.75" customHeight="1" x14ac:dyDescent="0.25"/>
    <row r="69" ht="12.75" customHeight="1" x14ac:dyDescent="0.25"/>
    <row r="70" ht="12.75" customHeight="1" x14ac:dyDescent="0.25"/>
    <row r="71" ht="12.75" customHeight="1" x14ac:dyDescent="0.25"/>
    <row r="72" ht="12.75" customHeight="1" x14ac:dyDescent="0.25"/>
    <row r="73" ht="12.75" customHeight="1" x14ac:dyDescent="0.25"/>
    <row r="74" ht="12.75" customHeight="1" x14ac:dyDescent="0.25"/>
    <row r="75" ht="12.75" customHeight="1" x14ac:dyDescent="0.25"/>
    <row r="76" ht="12.75" customHeight="1" x14ac:dyDescent="0.25"/>
    <row r="77" ht="12.75" customHeight="1" x14ac:dyDescent="0.25"/>
    <row r="78" ht="12.75" customHeight="1" x14ac:dyDescent="0.25"/>
  </sheetData>
  <sheetProtection algorithmName="SHA-512" hashValue="H3oNP6F2u3GpBNX8sh+NZlcbMPgKTP6M15jgXMAmJYkta7lDXsMWbDVoVC+ES/FUGY4poV/d//BVMQd+lBwX8w==" saltValue="d1n4FOiGIlmq5FntOu3OpQ==" spinCount="100000" sheet="1" objects="1" selectLockedCells="1"/>
  <mergeCells count="234">
    <mergeCell ref="I57:J57"/>
    <mergeCell ref="K57:L57"/>
    <mergeCell ref="C48:D48"/>
    <mergeCell ref="I48:J48"/>
    <mergeCell ref="K48:L48"/>
    <mergeCell ref="M48:N48"/>
    <mergeCell ref="K53:L53"/>
    <mergeCell ref="M53:N53"/>
    <mergeCell ref="I55:J55"/>
    <mergeCell ref="K55:L55"/>
    <mergeCell ref="M55:N55"/>
    <mergeCell ref="F54:P54"/>
    <mergeCell ref="F56:P56"/>
    <mergeCell ref="C53:D53"/>
    <mergeCell ref="C55:D55"/>
    <mergeCell ref="C58:E58"/>
    <mergeCell ref="Q58:R58"/>
    <mergeCell ref="R38:U38"/>
    <mergeCell ref="D39:F39"/>
    <mergeCell ref="N39:Q39"/>
    <mergeCell ref="C47:E47"/>
    <mergeCell ref="M57:N57"/>
    <mergeCell ref="L38:M38"/>
    <mergeCell ref="L39:M39"/>
    <mergeCell ref="I53:J53"/>
    <mergeCell ref="C42:H42"/>
    <mergeCell ref="I42:N42"/>
    <mergeCell ref="E43:H43"/>
    <mergeCell ref="E48:H48"/>
    <mergeCell ref="E53:H53"/>
    <mergeCell ref="E55:H55"/>
    <mergeCell ref="E57:H57"/>
    <mergeCell ref="C57:D57"/>
    <mergeCell ref="F46:U46"/>
    <mergeCell ref="F51:U51"/>
    <mergeCell ref="Q49:R49"/>
    <mergeCell ref="F50:U50"/>
    <mergeCell ref="C51:E51"/>
    <mergeCell ref="A41:U41"/>
    <mergeCell ref="C46:E46"/>
    <mergeCell ref="Q48:R48"/>
    <mergeCell ref="F47:U47"/>
    <mergeCell ref="E36:U36"/>
    <mergeCell ref="Q44:R44"/>
    <mergeCell ref="C44:E44"/>
    <mergeCell ref="C45:E45"/>
    <mergeCell ref="D38:F38"/>
    <mergeCell ref="Q43:R43"/>
    <mergeCell ref="K43:L43"/>
    <mergeCell ref="F45:U45"/>
    <mergeCell ref="E37:U37"/>
    <mergeCell ref="N38:Q38"/>
    <mergeCell ref="M43:N43"/>
    <mergeCell ref="Q42:R42"/>
    <mergeCell ref="C43:D43"/>
    <mergeCell ref="I43:J43"/>
    <mergeCell ref="J23:K23"/>
    <mergeCell ref="L23:Q23"/>
    <mergeCell ref="E35:U35"/>
    <mergeCell ref="E34:U34"/>
    <mergeCell ref="R39:U39"/>
    <mergeCell ref="A32:U32"/>
    <mergeCell ref="D33:F33"/>
    <mergeCell ref="N33:Q33"/>
    <mergeCell ref="R33:U33"/>
    <mergeCell ref="B37:D37"/>
    <mergeCell ref="A29:G29"/>
    <mergeCell ref="A30:G30"/>
    <mergeCell ref="L33:M33"/>
    <mergeCell ref="B38:C38"/>
    <mergeCell ref="B39:C39"/>
    <mergeCell ref="B34:D34"/>
    <mergeCell ref="S30:T30"/>
    <mergeCell ref="S26:T26"/>
    <mergeCell ref="S27:T27"/>
    <mergeCell ref="S28:T28"/>
    <mergeCell ref="S29:T29"/>
    <mergeCell ref="N26:P26"/>
    <mergeCell ref="N27:P27"/>
    <mergeCell ref="N28:P28"/>
    <mergeCell ref="B35:D35"/>
    <mergeCell ref="B36:D36"/>
    <mergeCell ref="L26:M26"/>
    <mergeCell ref="L27:M27"/>
    <mergeCell ref="L28:M28"/>
    <mergeCell ref="L29:M29"/>
    <mergeCell ref="L30:M30"/>
    <mergeCell ref="I26:K26"/>
    <mergeCell ref="I27:K27"/>
    <mergeCell ref="A28:G28"/>
    <mergeCell ref="A15:D15"/>
    <mergeCell ref="F15:G15"/>
    <mergeCell ref="R18:S18"/>
    <mergeCell ref="T18:U18"/>
    <mergeCell ref="R10:S10"/>
    <mergeCell ref="T10:U10"/>
    <mergeCell ref="R11:S11"/>
    <mergeCell ref="A13:D13"/>
    <mergeCell ref="F13:G13"/>
    <mergeCell ref="J14:K14"/>
    <mergeCell ref="J15:K15"/>
    <mergeCell ref="J16:K16"/>
    <mergeCell ref="J17:K17"/>
    <mergeCell ref="J18:K18"/>
    <mergeCell ref="T14:U14"/>
    <mergeCell ref="L10:Q10"/>
    <mergeCell ref="L11:Q11"/>
    <mergeCell ref="L12:Q12"/>
    <mergeCell ref="R15:S15"/>
    <mergeCell ref="T15:U15"/>
    <mergeCell ref="R16:S16"/>
    <mergeCell ref="T16:U16"/>
    <mergeCell ref="L13:Q13"/>
    <mergeCell ref="A16:D16"/>
    <mergeCell ref="T12:U12"/>
    <mergeCell ref="R13:S13"/>
    <mergeCell ref="T13:U13"/>
    <mergeCell ref="J6:K6"/>
    <mergeCell ref="J7:K7"/>
    <mergeCell ref="J8:K8"/>
    <mergeCell ref="J9:K9"/>
    <mergeCell ref="J10:K10"/>
    <mergeCell ref="A7:H7"/>
    <mergeCell ref="J11:K11"/>
    <mergeCell ref="J12:K12"/>
    <mergeCell ref="J13:K13"/>
    <mergeCell ref="E10:H10"/>
    <mergeCell ref="A12:D12"/>
    <mergeCell ref="F12:G12"/>
    <mergeCell ref="A11:E11"/>
    <mergeCell ref="F11:H11"/>
    <mergeCell ref="A9:H9"/>
    <mergeCell ref="A10:D10"/>
    <mergeCell ref="T9:U9"/>
    <mergeCell ref="R9:S9"/>
    <mergeCell ref="L9:Q9"/>
    <mergeCell ref="T11:U11"/>
    <mergeCell ref="R12:S12"/>
    <mergeCell ref="L21:Q21"/>
    <mergeCell ref="L22:Q22"/>
    <mergeCell ref="R21:S21"/>
    <mergeCell ref="T21:U21"/>
    <mergeCell ref="J19:K19"/>
    <mergeCell ref="J20:K20"/>
    <mergeCell ref="L14:Q14"/>
    <mergeCell ref="L15:Q15"/>
    <mergeCell ref="R14:S14"/>
    <mergeCell ref="R19:S19"/>
    <mergeCell ref="T19:U19"/>
    <mergeCell ref="R20:S20"/>
    <mergeCell ref="T20:U20"/>
    <mergeCell ref="R17:S17"/>
    <mergeCell ref="T17:U17"/>
    <mergeCell ref="L16:Q16"/>
    <mergeCell ref="L17:Q17"/>
    <mergeCell ref="L18:Q18"/>
    <mergeCell ref="L19:Q19"/>
    <mergeCell ref="T22:U22"/>
    <mergeCell ref="J21:K21"/>
    <mergeCell ref="J22:K22"/>
    <mergeCell ref="L20:Q20"/>
    <mergeCell ref="R22:S22"/>
    <mergeCell ref="A1:U1"/>
    <mergeCell ref="A8:D8"/>
    <mergeCell ref="F8:G8"/>
    <mergeCell ref="A3:E3"/>
    <mergeCell ref="F3:H3"/>
    <mergeCell ref="F4:G4"/>
    <mergeCell ref="A5:D5"/>
    <mergeCell ref="A6:D6"/>
    <mergeCell ref="F5:G5"/>
    <mergeCell ref="F6:G6"/>
    <mergeCell ref="J3:U3"/>
    <mergeCell ref="A4:D4"/>
    <mergeCell ref="J4:Q5"/>
    <mergeCell ref="R4:S5"/>
    <mergeCell ref="T4:U5"/>
    <mergeCell ref="R6:S6"/>
    <mergeCell ref="T6:U6"/>
    <mergeCell ref="R7:S7"/>
    <mergeCell ref="T7:U7"/>
    <mergeCell ref="R8:S8"/>
    <mergeCell ref="T8:U8"/>
    <mergeCell ref="L6:Q6"/>
    <mergeCell ref="L7:Q7"/>
    <mergeCell ref="L8:Q8"/>
    <mergeCell ref="F16:G16"/>
    <mergeCell ref="A17:D17"/>
    <mergeCell ref="F17:G17"/>
    <mergeCell ref="A18:D18"/>
    <mergeCell ref="F18:G18"/>
    <mergeCell ref="B33:C33"/>
    <mergeCell ref="A19:D19"/>
    <mergeCell ref="F19:G19"/>
    <mergeCell ref="A20:D20"/>
    <mergeCell ref="F20:G20"/>
    <mergeCell ref="A21:D21"/>
    <mergeCell ref="F21:G21"/>
    <mergeCell ref="A22:D22"/>
    <mergeCell ref="F22:G22"/>
    <mergeCell ref="F23:G23"/>
    <mergeCell ref="A23:D23"/>
    <mergeCell ref="A25:U25"/>
    <mergeCell ref="R23:S23"/>
    <mergeCell ref="T23:U23"/>
    <mergeCell ref="I28:K28"/>
    <mergeCell ref="I29:K29"/>
    <mergeCell ref="I30:K30"/>
    <mergeCell ref="A26:G26"/>
    <mergeCell ref="A27:G27"/>
    <mergeCell ref="F58:P58"/>
    <mergeCell ref="A2:U2"/>
    <mergeCell ref="I3:I23"/>
    <mergeCell ref="A24:U24"/>
    <mergeCell ref="A31:U31"/>
    <mergeCell ref="A40:U40"/>
    <mergeCell ref="Q57:R57"/>
    <mergeCell ref="Q55:R55"/>
    <mergeCell ref="C56:E56"/>
    <mergeCell ref="Q56:R56"/>
    <mergeCell ref="Q53:R53"/>
    <mergeCell ref="C52:E52"/>
    <mergeCell ref="F52:U52"/>
    <mergeCell ref="C54:E54"/>
    <mergeCell ref="Q54:R54"/>
    <mergeCell ref="C49:E49"/>
    <mergeCell ref="C50:E50"/>
    <mergeCell ref="A14:D14"/>
    <mergeCell ref="F14:G14"/>
    <mergeCell ref="N29:P29"/>
    <mergeCell ref="N30:P30"/>
    <mergeCell ref="O42:P42"/>
    <mergeCell ref="F44:P44"/>
    <mergeCell ref="F49:P49"/>
  </mergeCells>
  <dataValidations count="4">
    <dataValidation type="list" allowBlank="1" showInputMessage="1" showErrorMessage="1" sqref="K43:L43 K48:L48 K53:L53 K55:L55 K57:L57" xr:uid="{87B4D920-7B94-479F-8DCE-81213368F1EF}">
      <formula1>die_type</formula1>
    </dataValidation>
    <dataValidation type="list" allowBlank="1" showInputMessage="1" showErrorMessage="1" sqref="M43:N43 M48:N48 M53:N53 M55:N55 M57:N57" xr:uid="{6C0CAFA1-A28A-4274-9B7C-61574E4CE544}">
      <formula1>weapon_bonus</formula1>
    </dataValidation>
    <dataValidation type="list" allowBlank="1" showInputMessage="1" showErrorMessage="1" sqref="A26:G30 F56 F44 F49 F54 F58" xr:uid="{D2E95381-6EB8-4C1D-8171-166729390BAC}">
      <formula1>WP</formula1>
    </dataValidation>
    <dataValidation type="list" allowBlank="1" showInputMessage="1" showErrorMessage="1" sqref="P43 P48 P53 P55 P57" xr:uid="{222F8373-A88C-46B6-875B-59E3BB4C042D}">
      <formula1>measure_list</formula1>
    </dataValidation>
  </dataValidations>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defaultSize="0" autoFill="0" autoLine="0" autoPict="0">
                <anchor moveWithCells="1">
                  <from>
                    <xdr:col>9</xdr:col>
                    <xdr:colOff>76200</xdr:colOff>
                    <xdr:row>5</xdr:row>
                    <xdr:rowOff>0</xdr:rowOff>
                  </from>
                  <to>
                    <xdr:col>10</xdr:col>
                    <xdr:colOff>76200</xdr:colOff>
                    <xdr:row>6</xdr:row>
                    <xdr:rowOff>0</xdr:rowOff>
                  </to>
                </anchor>
              </controlPr>
            </control>
          </mc:Choice>
        </mc:AlternateContent>
        <mc:AlternateContent xmlns:mc="http://schemas.openxmlformats.org/markup-compatibility/2006">
          <mc:Choice Requires="x14">
            <control shapeId="8194" r:id="rId5" name="Check Box 2">
              <controlPr locked="0" defaultSize="0" autoFill="0" autoLine="0" autoPict="0">
                <anchor moveWithCells="1">
                  <from>
                    <xdr:col>9</xdr:col>
                    <xdr:colOff>76200</xdr:colOff>
                    <xdr:row>6</xdr:row>
                    <xdr:rowOff>0</xdr:rowOff>
                  </from>
                  <to>
                    <xdr:col>10</xdr:col>
                    <xdr:colOff>76200</xdr:colOff>
                    <xdr:row>7</xdr:row>
                    <xdr:rowOff>0</xdr:rowOff>
                  </to>
                </anchor>
              </controlPr>
            </control>
          </mc:Choice>
        </mc:AlternateContent>
        <mc:AlternateContent xmlns:mc="http://schemas.openxmlformats.org/markup-compatibility/2006">
          <mc:Choice Requires="x14">
            <control shapeId="8195" r:id="rId6" name="Check Box 3">
              <controlPr locked="0" defaultSize="0" autoFill="0" autoLine="0" autoPict="0">
                <anchor moveWithCells="1">
                  <from>
                    <xdr:col>9</xdr:col>
                    <xdr:colOff>76200</xdr:colOff>
                    <xdr:row>7</xdr:row>
                    <xdr:rowOff>0</xdr:rowOff>
                  </from>
                  <to>
                    <xdr:col>10</xdr:col>
                    <xdr:colOff>76200</xdr:colOff>
                    <xdr:row>8</xdr:row>
                    <xdr:rowOff>0</xdr:rowOff>
                  </to>
                </anchor>
              </controlPr>
            </control>
          </mc:Choice>
        </mc:AlternateContent>
        <mc:AlternateContent xmlns:mc="http://schemas.openxmlformats.org/markup-compatibility/2006">
          <mc:Choice Requires="x14">
            <control shapeId="8196" r:id="rId7" name="Check Box 4">
              <controlPr locked="0" defaultSize="0" autoFill="0" autoLine="0" autoPict="0">
                <anchor moveWithCells="1">
                  <from>
                    <xdr:col>9</xdr:col>
                    <xdr:colOff>76200</xdr:colOff>
                    <xdr:row>8</xdr:row>
                    <xdr:rowOff>0</xdr:rowOff>
                  </from>
                  <to>
                    <xdr:col>10</xdr:col>
                    <xdr:colOff>76200</xdr:colOff>
                    <xdr:row>9</xdr:row>
                    <xdr:rowOff>0</xdr:rowOff>
                  </to>
                </anchor>
              </controlPr>
            </control>
          </mc:Choice>
        </mc:AlternateContent>
        <mc:AlternateContent xmlns:mc="http://schemas.openxmlformats.org/markup-compatibility/2006">
          <mc:Choice Requires="x14">
            <control shapeId="8197" r:id="rId8" name="Check Box 5">
              <controlPr locked="0" defaultSize="0" autoFill="0" autoLine="0" autoPict="0">
                <anchor moveWithCells="1">
                  <from>
                    <xdr:col>9</xdr:col>
                    <xdr:colOff>76200</xdr:colOff>
                    <xdr:row>9</xdr:row>
                    <xdr:rowOff>0</xdr:rowOff>
                  </from>
                  <to>
                    <xdr:col>10</xdr:col>
                    <xdr:colOff>76200</xdr:colOff>
                    <xdr:row>10</xdr:row>
                    <xdr:rowOff>0</xdr:rowOff>
                  </to>
                </anchor>
              </controlPr>
            </control>
          </mc:Choice>
        </mc:AlternateContent>
        <mc:AlternateContent xmlns:mc="http://schemas.openxmlformats.org/markup-compatibility/2006">
          <mc:Choice Requires="x14">
            <control shapeId="8198" r:id="rId9" name="Check Box 6">
              <controlPr locked="0" defaultSize="0" autoFill="0" autoLine="0" autoPict="0">
                <anchor moveWithCells="1">
                  <from>
                    <xdr:col>9</xdr:col>
                    <xdr:colOff>76200</xdr:colOff>
                    <xdr:row>10</xdr:row>
                    <xdr:rowOff>0</xdr:rowOff>
                  </from>
                  <to>
                    <xdr:col>10</xdr:col>
                    <xdr:colOff>76200</xdr:colOff>
                    <xdr:row>11</xdr:row>
                    <xdr:rowOff>0</xdr:rowOff>
                  </to>
                </anchor>
              </controlPr>
            </control>
          </mc:Choice>
        </mc:AlternateContent>
        <mc:AlternateContent xmlns:mc="http://schemas.openxmlformats.org/markup-compatibility/2006">
          <mc:Choice Requires="x14">
            <control shapeId="8199" r:id="rId10" name="Check Box 7">
              <controlPr defaultSize="0" autoFill="0" autoLine="0" autoPict="0">
                <anchor moveWithCells="1">
                  <from>
                    <xdr:col>9</xdr:col>
                    <xdr:colOff>76200</xdr:colOff>
                    <xdr:row>11</xdr:row>
                    <xdr:rowOff>0</xdr:rowOff>
                  </from>
                  <to>
                    <xdr:col>10</xdr:col>
                    <xdr:colOff>76200</xdr:colOff>
                    <xdr:row>12</xdr:row>
                    <xdr:rowOff>0</xdr:rowOff>
                  </to>
                </anchor>
              </controlPr>
            </control>
          </mc:Choice>
        </mc:AlternateContent>
        <mc:AlternateContent xmlns:mc="http://schemas.openxmlformats.org/markup-compatibility/2006">
          <mc:Choice Requires="x14">
            <control shapeId="8200" r:id="rId11" name="Check Box 8">
              <controlPr defaultSize="0" autoFill="0" autoLine="0" autoPict="0">
                <anchor moveWithCells="1">
                  <from>
                    <xdr:col>9</xdr:col>
                    <xdr:colOff>76200</xdr:colOff>
                    <xdr:row>12</xdr:row>
                    <xdr:rowOff>0</xdr:rowOff>
                  </from>
                  <to>
                    <xdr:col>10</xdr:col>
                    <xdr:colOff>76200</xdr:colOff>
                    <xdr:row>13</xdr:row>
                    <xdr:rowOff>0</xdr:rowOff>
                  </to>
                </anchor>
              </controlPr>
            </control>
          </mc:Choice>
        </mc:AlternateContent>
        <mc:AlternateContent xmlns:mc="http://schemas.openxmlformats.org/markup-compatibility/2006">
          <mc:Choice Requires="x14">
            <control shapeId="8201" r:id="rId12" name="Check Box 9">
              <controlPr defaultSize="0" autoFill="0" autoLine="0" autoPict="0">
                <anchor moveWithCells="1">
                  <from>
                    <xdr:col>9</xdr:col>
                    <xdr:colOff>76200</xdr:colOff>
                    <xdr:row>13</xdr:row>
                    <xdr:rowOff>0</xdr:rowOff>
                  </from>
                  <to>
                    <xdr:col>10</xdr:col>
                    <xdr:colOff>76200</xdr:colOff>
                    <xdr:row>14</xdr:row>
                    <xdr:rowOff>0</xdr:rowOff>
                  </to>
                </anchor>
              </controlPr>
            </control>
          </mc:Choice>
        </mc:AlternateContent>
        <mc:AlternateContent xmlns:mc="http://schemas.openxmlformats.org/markup-compatibility/2006">
          <mc:Choice Requires="x14">
            <control shapeId="8202" r:id="rId13" name="Check Box 10">
              <controlPr defaultSize="0" autoFill="0" autoLine="0" autoPict="0">
                <anchor moveWithCells="1">
                  <from>
                    <xdr:col>9</xdr:col>
                    <xdr:colOff>76200</xdr:colOff>
                    <xdr:row>14</xdr:row>
                    <xdr:rowOff>0</xdr:rowOff>
                  </from>
                  <to>
                    <xdr:col>10</xdr:col>
                    <xdr:colOff>76200</xdr:colOff>
                    <xdr:row>15</xdr:row>
                    <xdr:rowOff>0</xdr:rowOff>
                  </to>
                </anchor>
              </controlPr>
            </control>
          </mc:Choice>
        </mc:AlternateContent>
        <mc:AlternateContent xmlns:mc="http://schemas.openxmlformats.org/markup-compatibility/2006">
          <mc:Choice Requires="x14">
            <control shapeId="8203" r:id="rId14" name="Check Box 11">
              <controlPr defaultSize="0" autoFill="0" autoLine="0" autoPict="0">
                <anchor moveWithCells="1">
                  <from>
                    <xdr:col>9</xdr:col>
                    <xdr:colOff>76200</xdr:colOff>
                    <xdr:row>15</xdr:row>
                    <xdr:rowOff>0</xdr:rowOff>
                  </from>
                  <to>
                    <xdr:col>10</xdr:col>
                    <xdr:colOff>76200</xdr:colOff>
                    <xdr:row>16</xdr:row>
                    <xdr:rowOff>0</xdr:rowOff>
                  </to>
                </anchor>
              </controlPr>
            </control>
          </mc:Choice>
        </mc:AlternateContent>
        <mc:AlternateContent xmlns:mc="http://schemas.openxmlformats.org/markup-compatibility/2006">
          <mc:Choice Requires="x14">
            <control shapeId="8204" r:id="rId15" name="Check Box 12">
              <controlPr defaultSize="0" autoFill="0" autoLine="0" autoPict="0">
                <anchor moveWithCells="1">
                  <from>
                    <xdr:col>9</xdr:col>
                    <xdr:colOff>76200</xdr:colOff>
                    <xdr:row>16</xdr:row>
                    <xdr:rowOff>0</xdr:rowOff>
                  </from>
                  <to>
                    <xdr:col>10</xdr:col>
                    <xdr:colOff>76200</xdr:colOff>
                    <xdr:row>17</xdr:row>
                    <xdr:rowOff>0</xdr:rowOff>
                  </to>
                </anchor>
              </controlPr>
            </control>
          </mc:Choice>
        </mc:AlternateContent>
        <mc:AlternateContent xmlns:mc="http://schemas.openxmlformats.org/markup-compatibility/2006">
          <mc:Choice Requires="x14">
            <control shapeId="8205" r:id="rId16" name="Check Box 13">
              <controlPr defaultSize="0" autoFill="0" autoLine="0" autoPict="0">
                <anchor moveWithCells="1">
                  <from>
                    <xdr:col>9</xdr:col>
                    <xdr:colOff>76200</xdr:colOff>
                    <xdr:row>17</xdr:row>
                    <xdr:rowOff>0</xdr:rowOff>
                  </from>
                  <to>
                    <xdr:col>10</xdr:col>
                    <xdr:colOff>76200</xdr:colOff>
                    <xdr:row>18</xdr:row>
                    <xdr:rowOff>0</xdr:rowOff>
                  </to>
                </anchor>
              </controlPr>
            </control>
          </mc:Choice>
        </mc:AlternateContent>
        <mc:AlternateContent xmlns:mc="http://schemas.openxmlformats.org/markup-compatibility/2006">
          <mc:Choice Requires="x14">
            <control shapeId="8206" r:id="rId17" name="Check Box 14">
              <controlPr defaultSize="0" autoFill="0" autoLine="0" autoPict="0">
                <anchor moveWithCells="1">
                  <from>
                    <xdr:col>9</xdr:col>
                    <xdr:colOff>76200</xdr:colOff>
                    <xdr:row>18</xdr:row>
                    <xdr:rowOff>0</xdr:rowOff>
                  </from>
                  <to>
                    <xdr:col>10</xdr:col>
                    <xdr:colOff>76200</xdr:colOff>
                    <xdr:row>19</xdr:row>
                    <xdr:rowOff>0</xdr:rowOff>
                  </to>
                </anchor>
              </controlPr>
            </control>
          </mc:Choice>
        </mc:AlternateContent>
        <mc:AlternateContent xmlns:mc="http://schemas.openxmlformats.org/markup-compatibility/2006">
          <mc:Choice Requires="x14">
            <control shapeId="8207" r:id="rId18" name="Check Box 15">
              <controlPr defaultSize="0" autoFill="0" autoLine="0" autoPict="0">
                <anchor moveWithCells="1">
                  <from>
                    <xdr:col>9</xdr:col>
                    <xdr:colOff>76200</xdr:colOff>
                    <xdr:row>19</xdr:row>
                    <xdr:rowOff>0</xdr:rowOff>
                  </from>
                  <to>
                    <xdr:col>10</xdr:col>
                    <xdr:colOff>76200</xdr:colOff>
                    <xdr:row>20</xdr:row>
                    <xdr:rowOff>0</xdr:rowOff>
                  </to>
                </anchor>
              </controlPr>
            </control>
          </mc:Choice>
        </mc:AlternateContent>
        <mc:AlternateContent xmlns:mc="http://schemas.openxmlformats.org/markup-compatibility/2006">
          <mc:Choice Requires="x14">
            <control shapeId="8208" r:id="rId19" name="Check Box 16">
              <controlPr defaultSize="0" autoFill="0" autoLine="0" autoPict="0">
                <anchor moveWithCells="1">
                  <from>
                    <xdr:col>9</xdr:col>
                    <xdr:colOff>76200</xdr:colOff>
                    <xdr:row>20</xdr:row>
                    <xdr:rowOff>0</xdr:rowOff>
                  </from>
                  <to>
                    <xdr:col>10</xdr:col>
                    <xdr:colOff>76200</xdr:colOff>
                    <xdr:row>21</xdr:row>
                    <xdr:rowOff>0</xdr:rowOff>
                  </to>
                </anchor>
              </controlPr>
            </control>
          </mc:Choice>
        </mc:AlternateContent>
        <mc:AlternateContent xmlns:mc="http://schemas.openxmlformats.org/markup-compatibility/2006">
          <mc:Choice Requires="x14">
            <control shapeId="8209" r:id="rId20" name="Check Box 17">
              <controlPr defaultSize="0" autoFill="0" autoLine="0" autoPict="0">
                <anchor moveWithCells="1">
                  <from>
                    <xdr:col>9</xdr:col>
                    <xdr:colOff>76200</xdr:colOff>
                    <xdr:row>21</xdr:row>
                    <xdr:rowOff>0</xdr:rowOff>
                  </from>
                  <to>
                    <xdr:col>10</xdr:col>
                    <xdr:colOff>76200</xdr:colOff>
                    <xdr:row>22</xdr:row>
                    <xdr:rowOff>0</xdr:rowOff>
                  </to>
                </anchor>
              </controlPr>
            </control>
          </mc:Choice>
        </mc:AlternateContent>
        <mc:AlternateContent xmlns:mc="http://schemas.openxmlformats.org/markup-compatibility/2006">
          <mc:Choice Requires="x14">
            <control shapeId="8210" r:id="rId21" name="Check Box 18">
              <controlPr locked="0" defaultSize="0" autoFill="0" autoLine="0" autoPict="0">
                <anchor moveWithCells="1">
                  <from>
                    <xdr:col>9</xdr:col>
                    <xdr:colOff>76200</xdr:colOff>
                    <xdr:row>22</xdr:row>
                    <xdr:rowOff>0</xdr:rowOff>
                  </from>
                  <to>
                    <xdr:col>10</xdr:col>
                    <xdr:colOff>76200</xdr:colOff>
                    <xdr:row>23</xdr:row>
                    <xdr:rowOff>0</xdr:rowOff>
                  </to>
                </anchor>
              </controlPr>
            </control>
          </mc:Choice>
        </mc:AlternateContent>
        <mc:AlternateContent xmlns:mc="http://schemas.openxmlformats.org/markup-compatibility/2006">
          <mc:Choice Requires="x14">
            <control shapeId="8215" r:id="rId22" name="Group Box 23">
              <controlPr defaultSize="0" autoFill="0" autoPict="0">
                <anchor moveWithCells="1">
                  <from>
                    <xdr:col>0</xdr:col>
                    <xdr:colOff>9525</xdr:colOff>
                    <xdr:row>32</xdr:row>
                    <xdr:rowOff>9525</xdr:rowOff>
                  </from>
                  <to>
                    <xdr:col>1</xdr:col>
                    <xdr:colOff>0</xdr:colOff>
                    <xdr:row>39</xdr:row>
                    <xdr:rowOff>9525</xdr:rowOff>
                  </to>
                </anchor>
              </controlPr>
            </control>
          </mc:Choice>
        </mc:AlternateContent>
        <mc:AlternateContent xmlns:mc="http://schemas.openxmlformats.org/markup-compatibility/2006">
          <mc:Choice Requires="x14">
            <control shapeId="8216" r:id="rId23" name="Group Box 24">
              <controlPr defaultSize="0" autoFill="0" autoPict="0">
                <anchor moveWithCells="1">
                  <from>
                    <xdr:col>0</xdr:col>
                    <xdr:colOff>0</xdr:colOff>
                    <xdr:row>42</xdr:row>
                    <xdr:rowOff>0</xdr:rowOff>
                  </from>
                  <to>
                    <xdr:col>1</xdr:col>
                    <xdr:colOff>9525</xdr:colOff>
                    <xdr:row>57</xdr:row>
                    <xdr:rowOff>152400</xdr:rowOff>
                  </to>
                </anchor>
              </controlPr>
            </control>
          </mc:Choice>
        </mc:AlternateContent>
        <mc:AlternateContent xmlns:mc="http://schemas.openxmlformats.org/markup-compatibility/2006">
          <mc:Choice Requires="x14">
            <control shapeId="8217" r:id="rId24" name="Group Box 25">
              <controlPr defaultSize="0" autoFill="0" autoPict="0">
                <anchor moveWithCells="1">
                  <from>
                    <xdr:col>1</xdr:col>
                    <xdr:colOff>0</xdr:colOff>
                    <xdr:row>42</xdr:row>
                    <xdr:rowOff>0</xdr:rowOff>
                  </from>
                  <to>
                    <xdr:col>2</xdr:col>
                    <xdr:colOff>9525</xdr:colOff>
                    <xdr:row>57</xdr:row>
                    <xdr:rowOff>152400</xdr:rowOff>
                  </to>
                </anchor>
              </controlPr>
            </control>
          </mc:Choice>
        </mc:AlternateContent>
        <mc:AlternateContent xmlns:mc="http://schemas.openxmlformats.org/markup-compatibility/2006">
          <mc:Choice Requires="x14">
            <control shapeId="8218" r:id="rId25" name="Option Button 26">
              <controlPr locked="0" defaultSize="0" autoFill="0" autoLine="0" autoPict="0">
                <anchor moveWithCells="1">
                  <from>
                    <xdr:col>0</xdr:col>
                    <xdr:colOff>9525</xdr:colOff>
                    <xdr:row>42</xdr:row>
                    <xdr:rowOff>9525</xdr:rowOff>
                  </from>
                  <to>
                    <xdr:col>0</xdr:col>
                    <xdr:colOff>190500</xdr:colOff>
                    <xdr:row>43</xdr:row>
                    <xdr:rowOff>0</xdr:rowOff>
                  </to>
                </anchor>
              </controlPr>
            </control>
          </mc:Choice>
        </mc:AlternateContent>
        <mc:AlternateContent xmlns:mc="http://schemas.openxmlformats.org/markup-compatibility/2006">
          <mc:Choice Requires="x14">
            <control shapeId="8219" r:id="rId26" name="Option Button 27">
              <controlPr locked="0" defaultSize="0" autoFill="0" autoLine="0" autoPict="0">
                <anchor moveWithCells="1">
                  <from>
                    <xdr:col>0</xdr:col>
                    <xdr:colOff>9525</xdr:colOff>
                    <xdr:row>47</xdr:row>
                    <xdr:rowOff>9525</xdr:rowOff>
                  </from>
                  <to>
                    <xdr:col>0</xdr:col>
                    <xdr:colOff>190500</xdr:colOff>
                    <xdr:row>48</xdr:row>
                    <xdr:rowOff>0</xdr:rowOff>
                  </to>
                </anchor>
              </controlPr>
            </control>
          </mc:Choice>
        </mc:AlternateContent>
        <mc:AlternateContent xmlns:mc="http://schemas.openxmlformats.org/markup-compatibility/2006">
          <mc:Choice Requires="x14">
            <control shapeId="8220" r:id="rId27" name="Option Button 28">
              <controlPr locked="0" defaultSize="0" autoFill="0" autoLine="0" autoPict="0">
                <anchor moveWithCells="1">
                  <from>
                    <xdr:col>0</xdr:col>
                    <xdr:colOff>9525</xdr:colOff>
                    <xdr:row>52</xdr:row>
                    <xdr:rowOff>9525</xdr:rowOff>
                  </from>
                  <to>
                    <xdr:col>0</xdr:col>
                    <xdr:colOff>190500</xdr:colOff>
                    <xdr:row>53</xdr:row>
                    <xdr:rowOff>0</xdr:rowOff>
                  </to>
                </anchor>
              </controlPr>
            </control>
          </mc:Choice>
        </mc:AlternateContent>
        <mc:AlternateContent xmlns:mc="http://schemas.openxmlformats.org/markup-compatibility/2006">
          <mc:Choice Requires="x14">
            <control shapeId="8221" r:id="rId28" name="Option Button 29">
              <controlPr locked="0" defaultSize="0" autoFill="0" autoLine="0" autoPict="0">
                <anchor moveWithCells="1">
                  <from>
                    <xdr:col>0</xdr:col>
                    <xdr:colOff>9525</xdr:colOff>
                    <xdr:row>54</xdr:row>
                    <xdr:rowOff>9525</xdr:rowOff>
                  </from>
                  <to>
                    <xdr:col>0</xdr:col>
                    <xdr:colOff>190500</xdr:colOff>
                    <xdr:row>55</xdr:row>
                    <xdr:rowOff>0</xdr:rowOff>
                  </to>
                </anchor>
              </controlPr>
            </control>
          </mc:Choice>
        </mc:AlternateContent>
        <mc:AlternateContent xmlns:mc="http://schemas.openxmlformats.org/markup-compatibility/2006">
          <mc:Choice Requires="x14">
            <control shapeId="8222" r:id="rId29" name="Option Button 30">
              <controlPr locked="0" defaultSize="0" autoFill="0" autoLine="0" autoPict="0">
                <anchor moveWithCells="1">
                  <from>
                    <xdr:col>0</xdr:col>
                    <xdr:colOff>9525</xdr:colOff>
                    <xdr:row>56</xdr:row>
                    <xdr:rowOff>9525</xdr:rowOff>
                  </from>
                  <to>
                    <xdr:col>0</xdr:col>
                    <xdr:colOff>190500</xdr:colOff>
                    <xdr:row>57</xdr:row>
                    <xdr:rowOff>0</xdr:rowOff>
                  </to>
                </anchor>
              </controlPr>
            </control>
          </mc:Choice>
        </mc:AlternateContent>
        <mc:AlternateContent xmlns:mc="http://schemas.openxmlformats.org/markup-compatibility/2006">
          <mc:Choice Requires="x14">
            <control shapeId="8223" r:id="rId30" name="Option Button 31">
              <controlPr locked="0" defaultSize="0" autoFill="0" autoLine="0" autoPict="0">
                <anchor moveWithCells="1">
                  <from>
                    <xdr:col>1</xdr:col>
                    <xdr:colOff>9525</xdr:colOff>
                    <xdr:row>42</xdr:row>
                    <xdr:rowOff>9525</xdr:rowOff>
                  </from>
                  <to>
                    <xdr:col>1</xdr:col>
                    <xdr:colOff>190500</xdr:colOff>
                    <xdr:row>43</xdr:row>
                    <xdr:rowOff>0</xdr:rowOff>
                  </to>
                </anchor>
              </controlPr>
            </control>
          </mc:Choice>
        </mc:AlternateContent>
        <mc:AlternateContent xmlns:mc="http://schemas.openxmlformats.org/markup-compatibility/2006">
          <mc:Choice Requires="x14">
            <control shapeId="8224" r:id="rId31" name="Option Button 32">
              <controlPr locked="0" defaultSize="0" autoFill="0" autoLine="0" autoPict="0">
                <anchor moveWithCells="1">
                  <from>
                    <xdr:col>1</xdr:col>
                    <xdr:colOff>9525</xdr:colOff>
                    <xdr:row>47</xdr:row>
                    <xdr:rowOff>9525</xdr:rowOff>
                  </from>
                  <to>
                    <xdr:col>1</xdr:col>
                    <xdr:colOff>190500</xdr:colOff>
                    <xdr:row>48</xdr:row>
                    <xdr:rowOff>0</xdr:rowOff>
                  </to>
                </anchor>
              </controlPr>
            </control>
          </mc:Choice>
        </mc:AlternateContent>
        <mc:AlternateContent xmlns:mc="http://schemas.openxmlformats.org/markup-compatibility/2006">
          <mc:Choice Requires="x14">
            <control shapeId="8225" r:id="rId32" name="Option Button 33">
              <controlPr locked="0" defaultSize="0" autoFill="0" autoLine="0" autoPict="0">
                <anchor moveWithCells="1">
                  <from>
                    <xdr:col>1</xdr:col>
                    <xdr:colOff>9525</xdr:colOff>
                    <xdr:row>52</xdr:row>
                    <xdr:rowOff>9525</xdr:rowOff>
                  </from>
                  <to>
                    <xdr:col>1</xdr:col>
                    <xdr:colOff>190500</xdr:colOff>
                    <xdr:row>53</xdr:row>
                    <xdr:rowOff>0</xdr:rowOff>
                  </to>
                </anchor>
              </controlPr>
            </control>
          </mc:Choice>
        </mc:AlternateContent>
        <mc:AlternateContent xmlns:mc="http://schemas.openxmlformats.org/markup-compatibility/2006">
          <mc:Choice Requires="x14">
            <control shapeId="8226" r:id="rId33" name="Option Button 34">
              <controlPr locked="0" defaultSize="0" autoFill="0" autoLine="0" autoPict="0">
                <anchor moveWithCells="1">
                  <from>
                    <xdr:col>1</xdr:col>
                    <xdr:colOff>9525</xdr:colOff>
                    <xdr:row>54</xdr:row>
                    <xdr:rowOff>9525</xdr:rowOff>
                  </from>
                  <to>
                    <xdr:col>1</xdr:col>
                    <xdr:colOff>190500</xdr:colOff>
                    <xdr:row>55</xdr:row>
                    <xdr:rowOff>0</xdr:rowOff>
                  </to>
                </anchor>
              </controlPr>
            </control>
          </mc:Choice>
        </mc:AlternateContent>
        <mc:AlternateContent xmlns:mc="http://schemas.openxmlformats.org/markup-compatibility/2006">
          <mc:Choice Requires="x14">
            <control shapeId="8227" r:id="rId34" name="Option Button 35">
              <controlPr locked="0" defaultSize="0" autoFill="0" autoLine="0" autoPict="0">
                <anchor moveWithCells="1">
                  <from>
                    <xdr:col>1</xdr:col>
                    <xdr:colOff>9525</xdr:colOff>
                    <xdr:row>56</xdr:row>
                    <xdr:rowOff>9525</xdr:rowOff>
                  </from>
                  <to>
                    <xdr:col>1</xdr:col>
                    <xdr:colOff>190500</xdr:colOff>
                    <xdr:row>57</xdr:row>
                    <xdr:rowOff>0</xdr:rowOff>
                  </to>
                </anchor>
              </controlPr>
            </control>
          </mc:Choice>
        </mc:AlternateContent>
        <mc:AlternateContent xmlns:mc="http://schemas.openxmlformats.org/markup-compatibility/2006">
          <mc:Choice Requires="x14">
            <control shapeId="8228" r:id="rId35" name="Option Button 36">
              <controlPr locked="0" defaultSize="0" autoFill="0" autoLine="0" autoPict="0">
                <anchor moveWithCells="1">
                  <from>
                    <xdr:col>0</xdr:col>
                    <xdr:colOff>9525</xdr:colOff>
                    <xdr:row>32</xdr:row>
                    <xdr:rowOff>9525</xdr:rowOff>
                  </from>
                  <to>
                    <xdr:col>0</xdr:col>
                    <xdr:colOff>190500</xdr:colOff>
                    <xdr:row>33</xdr:row>
                    <xdr:rowOff>0</xdr:rowOff>
                  </to>
                </anchor>
              </controlPr>
            </control>
          </mc:Choice>
        </mc:AlternateContent>
        <mc:AlternateContent xmlns:mc="http://schemas.openxmlformats.org/markup-compatibility/2006">
          <mc:Choice Requires="x14">
            <control shapeId="8229" r:id="rId36" name="Option Button 37">
              <controlPr locked="0" defaultSize="0" autoFill="0" autoLine="0" autoPict="0">
                <anchor moveWithCells="1">
                  <from>
                    <xdr:col>0</xdr:col>
                    <xdr:colOff>9525</xdr:colOff>
                    <xdr:row>37</xdr:row>
                    <xdr:rowOff>9525</xdr:rowOff>
                  </from>
                  <to>
                    <xdr:col>0</xdr:col>
                    <xdr:colOff>190500</xdr:colOff>
                    <xdr:row>38</xdr:row>
                    <xdr:rowOff>0</xdr:rowOff>
                  </to>
                </anchor>
              </controlPr>
            </control>
          </mc:Choice>
        </mc:AlternateContent>
        <mc:AlternateContent xmlns:mc="http://schemas.openxmlformats.org/markup-compatibility/2006">
          <mc:Choice Requires="x14">
            <control shapeId="8230" r:id="rId37" name="Option Button 38">
              <controlPr locked="0" defaultSize="0" autoFill="0" autoLine="0" autoPict="0">
                <anchor moveWithCells="1">
                  <from>
                    <xdr:col>0</xdr:col>
                    <xdr:colOff>9525</xdr:colOff>
                    <xdr:row>38</xdr:row>
                    <xdr:rowOff>9525</xdr:rowOff>
                  </from>
                  <to>
                    <xdr:col>0</xdr:col>
                    <xdr:colOff>190500</xdr:colOff>
                    <xdr:row>39</xdr:row>
                    <xdr:rowOff>0</xdr:rowOff>
                  </to>
                </anchor>
              </controlPr>
            </control>
          </mc:Choice>
        </mc:AlternateContent>
        <mc:AlternateContent xmlns:mc="http://schemas.openxmlformats.org/markup-compatibility/2006">
          <mc:Choice Requires="x14">
            <control shapeId="8231" r:id="rId38" name="Check Box 39">
              <controlPr locked="0" defaultSize="0" autoFill="0" autoLine="0" autoPict="0">
                <anchor moveWithCells="1">
                  <from>
                    <xdr:col>9</xdr:col>
                    <xdr:colOff>76200</xdr:colOff>
                    <xdr:row>11</xdr:row>
                    <xdr:rowOff>0</xdr:rowOff>
                  </from>
                  <to>
                    <xdr:col>10</xdr:col>
                    <xdr:colOff>76200</xdr:colOff>
                    <xdr:row>12</xdr:row>
                    <xdr:rowOff>0</xdr:rowOff>
                  </to>
                </anchor>
              </controlPr>
            </control>
          </mc:Choice>
        </mc:AlternateContent>
        <mc:AlternateContent xmlns:mc="http://schemas.openxmlformats.org/markup-compatibility/2006">
          <mc:Choice Requires="x14">
            <control shapeId="8232" r:id="rId39" name="Check Box 40">
              <controlPr locked="0" defaultSize="0" autoFill="0" autoLine="0" autoPict="0">
                <anchor moveWithCells="1">
                  <from>
                    <xdr:col>9</xdr:col>
                    <xdr:colOff>76200</xdr:colOff>
                    <xdr:row>12</xdr:row>
                    <xdr:rowOff>0</xdr:rowOff>
                  </from>
                  <to>
                    <xdr:col>10</xdr:col>
                    <xdr:colOff>76200</xdr:colOff>
                    <xdr:row>13</xdr:row>
                    <xdr:rowOff>0</xdr:rowOff>
                  </to>
                </anchor>
              </controlPr>
            </control>
          </mc:Choice>
        </mc:AlternateContent>
        <mc:AlternateContent xmlns:mc="http://schemas.openxmlformats.org/markup-compatibility/2006">
          <mc:Choice Requires="x14">
            <control shapeId="8233" r:id="rId40" name="Check Box 41">
              <controlPr locked="0" defaultSize="0" autoFill="0" autoLine="0" autoPict="0">
                <anchor moveWithCells="1">
                  <from>
                    <xdr:col>9</xdr:col>
                    <xdr:colOff>76200</xdr:colOff>
                    <xdr:row>13</xdr:row>
                    <xdr:rowOff>0</xdr:rowOff>
                  </from>
                  <to>
                    <xdr:col>10</xdr:col>
                    <xdr:colOff>76200</xdr:colOff>
                    <xdr:row>14</xdr:row>
                    <xdr:rowOff>0</xdr:rowOff>
                  </to>
                </anchor>
              </controlPr>
            </control>
          </mc:Choice>
        </mc:AlternateContent>
        <mc:AlternateContent xmlns:mc="http://schemas.openxmlformats.org/markup-compatibility/2006">
          <mc:Choice Requires="x14">
            <control shapeId="8234" r:id="rId41" name="Check Box 42">
              <controlPr locked="0" defaultSize="0" autoFill="0" autoLine="0" autoPict="0">
                <anchor moveWithCells="1">
                  <from>
                    <xdr:col>9</xdr:col>
                    <xdr:colOff>76200</xdr:colOff>
                    <xdr:row>14</xdr:row>
                    <xdr:rowOff>0</xdr:rowOff>
                  </from>
                  <to>
                    <xdr:col>10</xdr:col>
                    <xdr:colOff>76200</xdr:colOff>
                    <xdr:row>15</xdr:row>
                    <xdr:rowOff>0</xdr:rowOff>
                  </to>
                </anchor>
              </controlPr>
            </control>
          </mc:Choice>
        </mc:AlternateContent>
        <mc:AlternateContent xmlns:mc="http://schemas.openxmlformats.org/markup-compatibility/2006">
          <mc:Choice Requires="x14">
            <control shapeId="8235" r:id="rId42" name="Check Box 43">
              <controlPr locked="0" defaultSize="0" autoFill="0" autoLine="0" autoPict="0">
                <anchor moveWithCells="1">
                  <from>
                    <xdr:col>9</xdr:col>
                    <xdr:colOff>76200</xdr:colOff>
                    <xdr:row>15</xdr:row>
                    <xdr:rowOff>0</xdr:rowOff>
                  </from>
                  <to>
                    <xdr:col>10</xdr:col>
                    <xdr:colOff>76200</xdr:colOff>
                    <xdr:row>16</xdr:row>
                    <xdr:rowOff>0</xdr:rowOff>
                  </to>
                </anchor>
              </controlPr>
            </control>
          </mc:Choice>
        </mc:AlternateContent>
        <mc:AlternateContent xmlns:mc="http://schemas.openxmlformats.org/markup-compatibility/2006">
          <mc:Choice Requires="x14">
            <control shapeId="8236" r:id="rId43" name="Check Box 44">
              <controlPr locked="0" defaultSize="0" autoFill="0" autoLine="0" autoPict="0">
                <anchor moveWithCells="1">
                  <from>
                    <xdr:col>9</xdr:col>
                    <xdr:colOff>76200</xdr:colOff>
                    <xdr:row>16</xdr:row>
                    <xdr:rowOff>0</xdr:rowOff>
                  </from>
                  <to>
                    <xdr:col>10</xdr:col>
                    <xdr:colOff>76200</xdr:colOff>
                    <xdr:row>17</xdr:row>
                    <xdr:rowOff>0</xdr:rowOff>
                  </to>
                </anchor>
              </controlPr>
            </control>
          </mc:Choice>
        </mc:AlternateContent>
        <mc:AlternateContent xmlns:mc="http://schemas.openxmlformats.org/markup-compatibility/2006">
          <mc:Choice Requires="x14">
            <control shapeId="8237" r:id="rId44" name="Check Box 45">
              <controlPr locked="0" defaultSize="0" autoFill="0" autoLine="0" autoPict="0">
                <anchor moveWithCells="1">
                  <from>
                    <xdr:col>9</xdr:col>
                    <xdr:colOff>76200</xdr:colOff>
                    <xdr:row>17</xdr:row>
                    <xdr:rowOff>0</xdr:rowOff>
                  </from>
                  <to>
                    <xdr:col>10</xdr:col>
                    <xdr:colOff>76200</xdr:colOff>
                    <xdr:row>18</xdr:row>
                    <xdr:rowOff>0</xdr:rowOff>
                  </to>
                </anchor>
              </controlPr>
            </control>
          </mc:Choice>
        </mc:AlternateContent>
        <mc:AlternateContent xmlns:mc="http://schemas.openxmlformats.org/markup-compatibility/2006">
          <mc:Choice Requires="x14">
            <control shapeId="8238" r:id="rId45" name="Check Box 46">
              <controlPr locked="0" defaultSize="0" autoFill="0" autoLine="0" autoPict="0">
                <anchor moveWithCells="1">
                  <from>
                    <xdr:col>9</xdr:col>
                    <xdr:colOff>76200</xdr:colOff>
                    <xdr:row>18</xdr:row>
                    <xdr:rowOff>0</xdr:rowOff>
                  </from>
                  <to>
                    <xdr:col>10</xdr:col>
                    <xdr:colOff>76200</xdr:colOff>
                    <xdr:row>19</xdr:row>
                    <xdr:rowOff>0</xdr:rowOff>
                  </to>
                </anchor>
              </controlPr>
            </control>
          </mc:Choice>
        </mc:AlternateContent>
        <mc:AlternateContent xmlns:mc="http://schemas.openxmlformats.org/markup-compatibility/2006">
          <mc:Choice Requires="x14">
            <control shapeId="8239" r:id="rId46" name="Check Box 47">
              <controlPr locked="0" defaultSize="0" autoFill="0" autoLine="0" autoPict="0">
                <anchor moveWithCells="1">
                  <from>
                    <xdr:col>9</xdr:col>
                    <xdr:colOff>76200</xdr:colOff>
                    <xdr:row>19</xdr:row>
                    <xdr:rowOff>0</xdr:rowOff>
                  </from>
                  <to>
                    <xdr:col>10</xdr:col>
                    <xdr:colOff>76200</xdr:colOff>
                    <xdr:row>20</xdr:row>
                    <xdr:rowOff>0</xdr:rowOff>
                  </to>
                </anchor>
              </controlPr>
            </control>
          </mc:Choice>
        </mc:AlternateContent>
        <mc:AlternateContent xmlns:mc="http://schemas.openxmlformats.org/markup-compatibility/2006">
          <mc:Choice Requires="x14">
            <control shapeId="8240" r:id="rId47" name="Check Box 48">
              <controlPr locked="0" defaultSize="0" autoFill="0" autoLine="0" autoPict="0">
                <anchor moveWithCells="1">
                  <from>
                    <xdr:col>9</xdr:col>
                    <xdr:colOff>76200</xdr:colOff>
                    <xdr:row>20</xdr:row>
                    <xdr:rowOff>0</xdr:rowOff>
                  </from>
                  <to>
                    <xdr:col>10</xdr:col>
                    <xdr:colOff>76200</xdr:colOff>
                    <xdr:row>21</xdr:row>
                    <xdr:rowOff>0</xdr:rowOff>
                  </to>
                </anchor>
              </controlPr>
            </control>
          </mc:Choice>
        </mc:AlternateContent>
        <mc:AlternateContent xmlns:mc="http://schemas.openxmlformats.org/markup-compatibility/2006">
          <mc:Choice Requires="x14">
            <control shapeId="8241" r:id="rId48" name="Check Box 49">
              <controlPr locked="0" defaultSize="0" autoFill="0" autoLine="0" autoPict="0">
                <anchor moveWithCells="1">
                  <from>
                    <xdr:col>9</xdr:col>
                    <xdr:colOff>76200</xdr:colOff>
                    <xdr:row>21</xdr:row>
                    <xdr:rowOff>0</xdr:rowOff>
                  </from>
                  <to>
                    <xdr:col>10</xdr:col>
                    <xdr:colOff>76200</xdr:colOff>
                    <xdr:row>22</xdr:row>
                    <xdr:rowOff>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94AD48-9DFC-480F-87CE-7B81EE1BBD24}">
  <sheetPr>
    <tabColor theme="5" tint="0.39997558519241921"/>
  </sheetPr>
  <dimension ref="A1:U89"/>
  <sheetViews>
    <sheetView showGridLines="0" zoomScaleNormal="100" workbookViewId="0">
      <selection activeCell="C11" sqref="C11:D11"/>
    </sheetView>
  </sheetViews>
  <sheetFormatPr defaultRowHeight="15" x14ac:dyDescent="0.25"/>
  <cols>
    <col min="11" max="11" width="9.28515625" bestFit="1" customWidth="1"/>
    <col min="12" max="12" width="10.7109375" bestFit="1" customWidth="1"/>
  </cols>
  <sheetData>
    <row r="1" spans="1:21" ht="19.5" thickBot="1" x14ac:dyDescent="0.35">
      <c r="A1" s="1069" t="s">
        <v>672</v>
      </c>
      <c r="B1" s="1070"/>
      <c r="C1" s="1070"/>
      <c r="D1" s="1070"/>
      <c r="E1" s="1070"/>
      <c r="F1" s="1070"/>
      <c r="G1" s="1070"/>
      <c r="H1" s="1070"/>
      <c r="I1" s="1070"/>
      <c r="J1" s="1070"/>
      <c r="K1" s="1070"/>
      <c r="L1" s="1070"/>
      <c r="M1" s="1070"/>
      <c r="N1" s="1070"/>
      <c r="O1" s="1070"/>
      <c r="P1" s="1070"/>
      <c r="Q1" s="1070"/>
      <c r="R1" s="1070"/>
      <c r="S1" s="1070"/>
      <c r="T1" s="1070"/>
      <c r="U1" s="1071"/>
    </row>
    <row r="2" spans="1:21" ht="3.75" customHeight="1" x14ac:dyDescent="0.25">
      <c r="A2" s="1041" t="s">
        <v>673</v>
      </c>
      <c r="B2" s="1042"/>
      <c r="C2" s="1042"/>
      <c r="D2" s="1042"/>
      <c r="E2" s="1042"/>
      <c r="F2" s="1042"/>
      <c r="G2" s="1042"/>
      <c r="H2" s="1042"/>
      <c r="I2" s="1042"/>
      <c r="J2" s="1042"/>
      <c r="K2" s="1042"/>
      <c r="L2" s="1042"/>
      <c r="M2" s="1042"/>
      <c r="N2" s="1042"/>
      <c r="O2" s="1042"/>
      <c r="P2" s="1042"/>
      <c r="Q2" s="1042"/>
      <c r="R2" s="1042"/>
      <c r="S2" s="1042"/>
      <c r="T2" s="1042"/>
      <c r="U2" s="1043"/>
    </row>
    <row r="3" spans="1:21" ht="15" customHeight="1" x14ac:dyDescent="0.25">
      <c r="A3" s="1044"/>
      <c r="B3" s="1045"/>
      <c r="C3" s="1045"/>
      <c r="D3" s="1045"/>
      <c r="E3" s="1045"/>
      <c r="F3" s="1045"/>
      <c r="G3" s="1045"/>
      <c r="H3" s="1045"/>
      <c r="I3" s="1045"/>
      <c r="J3" s="1045"/>
      <c r="K3" s="1045"/>
      <c r="L3" s="1045"/>
      <c r="M3" s="1045"/>
      <c r="N3" s="1045"/>
      <c r="O3" s="1045"/>
      <c r="P3" s="1045"/>
      <c r="Q3" s="1045"/>
      <c r="R3" s="1045"/>
      <c r="S3" s="1045"/>
      <c r="T3" s="1045"/>
      <c r="U3" s="1046"/>
    </row>
    <row r="4" spans="1:21" x14ac:dyDescent="0.25">
      <c r="A4" s="1044"/>
      <c r="B4" s="1045"/>
      <c r="C4" s="1045"/>
      <c r="D4" s="1045"/>
      <c r="E4" s="1045"/>
      <c r="F4" s="1045"/>
      <c r="G4" s="1045"/>
      <c r="H4" s="1045"/>
      <c r="I4" s="1045"/>
      <c r="J4" s="1045"/>
      <c r="K4" s="1045"/>
      <c r="L4" s="1045"/>
      <c r="M4" s="1045"/>
      <c r="N4" s="1045"/>
      <c r="O4" s="1045"/>
      <c r="P4" s="1045"/>
      <c r="Q4" s="1045"/>
      <c r="R4" s="1045"/>
      <c r="S4" s="1045"/>
      <c r="T4" s="1045"/>
      <c r="U4" s="1046"/>
    </row>
    <row r="5" spans="1:21" x14ac:dyDescent="0.25">
      <c r="A5" s="1044"/>
      <c r="B5" s="1045"/>
      <c r="C5" s="1045"/>
      <c r="D5" s="1045"/>
      <c r="E5" s="1045"/>
      <c r="F5" s="1045"/>
      <c r="G5" s="1045"/>
      <c r="H5" s="1045"/>
      <c r="I5" s="1045"/>
      <c r="J5" s="1045"/>
      <c r="K5" s="1045"/>
      <c r="L5" s="1045"/>
      <c r="M5" s="1045"/>
      <c r="N5" s="1045"/>
      <c r="O5" s="1045"/>
      <c r="P5" s="1045"/>
      <c r="Q5" s="1045"/>
      <c r="R5" s="1045"/>
      <c r="S5" s="1045"/>
      <c r="T5" s="1045"/>
      <c r="U5" s="1046"/>
    </row>
    <row r="6" spans="1:21" x14ac:dyDescent="0.25">
      <c r="A6" s="1044"/>
      <c r="B6" s="1045"/>
      <c r="C6" s="1045"/>
      <c r="D6" s="1045"/>
      <c r="E6" s="1045"/>
      <c r="F6" s="1045"/>
      <c r="G6" s="1045"/>
      <c r="H6" s="1045"/>
      <c r="I6" s="1045"/>
      <c r="J6" s="1045"/>
      <c r="K6" s="1045"/>
      <c r="L6" s="1045"/>
      <c r="M6" s="1045"/>
      <c r="N6" s="1045"/>
      <c r="O6" s="1045"/>
      <c r="P6" s="1045"/>
      <c r="Q6" s="1045"/>
      <c r="R6" s="1045"/>
      <c r="S6" s="1045"/>
      <c r="T6" s="1045"/>
      <c r="U6" s="1046"/>
    </row>
    <row r="7" spans="1:21" ht="3.75" customHeight="1" thickBot="1" x14ac:dyDescent="0.3">
      <c r="A7" s="1047"/>
      <c r="B7" s="1048"/>
      <c r="C7" s="1048"/>
      <c r="D7" s="1048"/>
      <c r="E7" s="1048"/>
      <c r="F7" s="1048"/>
      <c r="G7" s="1048"/>
      <c r="H7" s="1048"/>
      <c r="I7" s="1048"/>
      <c r="J7" s="1048"/>
      <c r="K7" s="1048"/>
      <c r="L7" s="1048"/>
      <c r="M7" s="1048"/>
      <c r="N7" s="1048"/>
      <c r="O7" s="1048"/>
      <c r="P7" s="1048"/>
      <c r="Q7" s="1048"/>
      <c r="R7" s="1048"/>
      <c r="S7" s="1048"/>
      <c r="T7" s="1048"/>
      <c r="U7" s="1049"/>
    </row>
    <row r="8" spans="1:21" ht="15.75" thickBot="1" x14ac:dyDescent="0.3"/>
    <row r="9" spans="1:21" ht="15.75" thickBot="1" x14ac:dyDescent="0.3">
      <c r="A9" s="1036" t="s">
        <v>667</v>
      </c>
      <c r="B9" s="1038"/>
      <c r="C9" s="1081" t="s">
        <v>664</v>
      </c>
      <c r="D9" s="1082"/>
      <c r="E9" s="1083" t="s">
        <v>665</v>
      </c>
      <c r="F9" s="1084"/>
      <c r="G9" s="1083" t="s">
        <v>666</v>
      </c>
      <c r="H9" s="1084"/>
      <c r="J9" s="1072" t="s">
        <v>71</v>
      </c>
      <c r="K9" s="1073"/>
      <c r="L9" s="1085"/>
      <c r="M9" s="1086"/>
      <c r="N9" s="1086"/>
      <c r="O9" s="1086"/>
      <c r="P9" s="1087"/>
    </row>
    <row r="10" spans="1:21" ht="15.75" thickBot="1" x14ac:dyDescent="0.3">
      <c r="A10" s="1057" t="s">
        <v>12</v>
      </c>
      <c r="B10" s="1058"/>
      <c r="C10" s="1057" t="s">
        <v>12</v>
      </c>
      <c r="D10" s="1058"/>
      <c r="E10" s="1057" t="s">
        <v>12</v>
      </c>
      <c r="F10" s="1058"/>
      <c r="G10" s="1057" t="s">
        <v>12</v>
      </c>
      <c r="H10" s="1058"/>
      <c r="J10" s="133" t="s">
        <v>16</v>
      </c>
      <c r="K10" s="124" t="s">
        <v>102</v>
      </c>
      <c r="L10" s="124" t="s">
        <v>74</v>
      </c>
      <c r="M10" s="124" t="s">
        <v>75</v>
      </c>
      <c r="N10" s="124" t="s">
        <v>76</v>
      </c>
      <c r="O10" s="124" t="s">
        <v>77</v>
      </c>
      <c r="P10" s="124" t="s">
        <v>271</v>
      </c>
      <c r="Q10" s="124" t="s">
        <v>272</v>
      </c>
      <c r="R10" s="124" t="s">
        <v>85</v>
      </c>
      <c r="S10" s="124" t="s">
        <v>273</v>
      </c>
      <c r="T10" s="124" t="s">
        <v>274</v>
      </c>
      <c r="U10" s="134" t="s">
        <v>83</v>
      </c>
    </row>
    <row r="11" spans="1:21" ht="15.75" thickBot="1" x14ac:dyDescent="0.3">
      <c r="A11" s="1059" t="s">
        <v>482</v>
      </c>
      <c r="B11" s="1066"/>
      <c r="C11" s="1079"/>
      <c r="D11" s="1080"/>
      <c r="E11" s="1079"/>
      <c r="F11" s="1080"/>
      <c r="G11" s="1079"/>
      <c r="H11" s="1080"/>
      <c r="J11" s="162">
        <v>1</v>
      </c>
      <c r="K11" s="167">
        <v>1</v>
      </c>
      <c r="L11" s="167"/>
      <c r="M11" s="167"/>
      <c r="N11" s="167"/>
      <c r="O11" s="167"/>
      <c r="P11" s="167"/>
      <c r="Q11" s="167"/>
      <c r="R11" s="167"/>
      <c r="S11" s="167">
        <v>20</v>
      </c>
      <c r="T11" s="168"/>
      <c r="U11" s="169"/>
    </row>
    <row r="12" spans="1:21" ht="15.75" thickBot="1" x14ac:dyDescent="0.3">
      <c r="A12" s="1067" t="s">
        <v>650</v>
      </c>
      <c r="B12" s="1068"/>
      <c r="C12" s="1077" t="s">
        <v>650</v>
      </c>
      <c r="D12" s="1078"/>
      <c r="E12" s="1077" t="s">
        <v>650</v>
      </c>
      <c r="F12" s="1078"/>
      <c r="G12" s="1077" t="s">
        <v>650</v>
      </c>
      <c r="H12" s="1078"/>
      <c r="J12" s="161">
        <v>2</v>
      </c>
      <c r="K12" s="145">
        <v>1</v>
      </c>
      <c r="L12" s="145"/>
      <c r="M12" s="145"/>
      <c r="N12" s="145"/>
      <c r="O12" s="145"/>
      <c r="P12" s="145"/>
      <c r="Q12" s="145"/>
      <c r="R12" s="145"/>
      <c r="S12" s="145">
        <v>20</v>
      </c>
      <c r="T12" s="170"/>
      <c r="U12" s="171"/>
    </row>
    <row r="13" spans="1:21" x14ac:dyDescent="0.25">
      <c r="A13" s="194" t="s">
        <v>181</v>
      </c>
      <c r="B13" s="195" t="s">
        <v>16</v>
      </c>
      <c r="C13" s="163" t="s">
        <v>181</v>
      </c>
      <c r="D13" s="139" t="s">
        <v>16</v>
      </c>
      <c r="E13" s="163" t="s">
        <v>181</v>
      </c>
      <c r="F13" s="139" t="s">
        <v>16</v>
      </c>
      <c r="G13" s="163" t="s">
        <v>181</v>
      </c>
      <c r="H13" s="139" t="s">
        <v>16</v>
      </c>
      <c r="J13" s="161">
        <v>3</v>
      </c>
      <c r="K13" s="145">
        <v>1</v>
      </c>
      <c r="L13" s="145"/>
      <c r="M13" s="145"/>
      <c r="N13" s="145"/>
      <c r="O13" s="145"/>
      <c r="P13" s="145"/>
      <c r="Q13" s="145"/>
      <c r="R13" s="145"/>
      <c r="S13" s="145">
        <v>20</v>
      </c>
      <c r="T13" s="170"/>
      <c r="U13" s="171"/>
    </row>
    <row r="14" spans="1:21" x14ac:dyDescent="0.25">
      <c r="A14" s="196">
        <v>0</v>
      </c>
      <c r="B14" s="178">
        <v>1</v>
      </c>
      <c r="C14" s="164">
        <v>0</v>
      </c>
      <c r="D14" s="141">
        <v>1</v>
      </c>
      <c r="E14" s="164">
        <v>0</v>
      </c>
      <c r="F14" s="141">
        <v>1</v>
      </c>
      <c r="G14" s="164">
        <v>0</v>
      </c>
      <c r="H14" s="141">
        <v>1</v>
      </c>
      <c r="J14" s="161">
        <v>4</v>
      </c>
      <c r="K14" s="145">
        <v>1</v>
      </c>
      <c r="L14" s="145"/>
      <c r="M14" s="145"/>
      <c r="N14" s="145"/>
      <c r="O14" s="145"/>
      <c r="P14" s="145"/>
      <c r="Q14" s="145"/>
      <c r="R14" s="145"/>
      <c r="S14" s="145">
        <v>20</v>
      </c>
      <c r="T14" s="170"/>
      <c r="U14" s="171"/>
    </row>
    <row r="15" spans="1:21" x14ac:dyDescent="0.25">
      <c r="A15" s="197">
        <v>2201</v>
      </c>
      <c r="B15" s="178">
        <v>2</v>
      </c>
      <c r="C15" s="165"/>
      <c r="D15" s="141">
        <v>2</v>
      </c>
      <c r="E15" s="165"/>
      <c r="F15" s="141">
        <v>2</v>
      </c>
      <c r="G15" s="165"/>
      <c r="H15" s="141">
        <v>2</v>
      </c>
      <c r="J15" s="161">
        <v>5</v>
      </c>
      <c r="K15" s="145">
        <v>1</v>
      </c>
      <c r="L15" s="145"/>
      <c r="M15" s="145"/>
      <c r="N15" s="145"/>
      <c r="O15" s="145"/>
      <c r="P15" s="145"/>
      <c r="Q15" s="145"/>
      <c r="R15" s="145"/>
      <c r="S15" s="145">
        <v>20</v>
      </c>
      <c r="T15" s="170"/>
      <c r="U15" s="171"/>
    </row>
    <row r="16" spans="1:21" x14ac:dyDescent="0.25">
      <c r="A16" s="197">
        <v>4401</v>
      </c>
      <c r="B16" s="178">
        <v>3</v>
      </c>
      <c r="C16" s="165"/>
      <c r="D16" s="141">
        <v>3</v>
      </c>
      <c r="E16" s="165"/>
      <c r="F16" s="141">
        <v>3</v>
      </c>
      <c r="G16" s="165"/>
      <c r="H16" s="141">
        <v>3</v>
      </c>
      <c r="J16" s="161">
        <v>6</v>
      </c>
      <c r="K16" s="145">
        <v>2</v>
      </c>
      <c r="L16" s="145"/>
      <c r="M16" s="145"/>
      <c r="N16" s="145"/>
      <c r="O16" s="145"/>
      <c r="P16" s="145"/>
      <c r="Q16" s="145"/>
      <c r="R16" s="145"/>
      <c r="S16" s="145">
        <v>20</v>
      </c>
      <c r="T16" s="170"/>
      <c r="U16" s="171"/>
    </row>
    <row r="17" spans="1:21" x14ac:dyDescent="0.25">
      <c r="A17" s="197">
        <v>8801</v>
      </c>
      <c r="B17" s="178">
        <v>4</v>
      </c>
      <c r="C17" s="165"/>
      <c r="D17" s="141">
        <v>4</v>
      </c>
      <c r="E17" s="165"/>
      <c r="F17" s="141">
        <v>4</v>
      </c>
      <c r="G17" s="165"/>
      <c r="H17" s="141">
        <v>4</v>
      </c>
      <c r="J17" s="161">
        <v>7</v>
      </c>
      <c r="K17" s="145">
        <v>2</v>
      </c>
      <c r="L17" s="145"/>
      <c r="M17" s="145"/>
      <c r="N17" s="145"/>
      <c r="O17" s="145"/>
      <c r="P17" s="145"/>
      <c r="Q17" s="145"/>
      <c r="R17" s="145"/>
      <c r="S17" s="145">
        <v>20</v>
      </c>
      <c r="T17" s="170"/>
      <c r="U17" s="171"/>
    </row>
    <row r="18" spans="1:21" x14ac:dyDescent="0.25">
      <c r="A18" s="197">
        <v>16501</v>
      </c>
      <c r="B18" s="178">
        <v>5</v>
      </c>
      <c r="C18" s="165"/>
      <c r="D18" s="141">
        <v>5</v>
      </c>
      <c r="E18" s="165"/>
      <c r="F18" s="141">
        <v>5</v>
      </c>
      <c r="G18" s="165"/>
      <c r="H18" s="141">
        <v>5</v>
      </c>
      <c r="J18" s="161">
        <v>8</v>
      </c>
      <c r="K18" s="145">
        <v>2</v>
      </c>
      <c r="L18" s="145"/>
      <c r="M18" s="145"/>
      <c r="N18" s="145"/>
      <c r="O18" s="145"/>
      <c r="P18" s="145"/>
      <c r="Q18" s="145"/>
      <c r="R18" s="145"/>
      <c r="S18" s="145">
        <v>20</v>
      </c>
      <c r="T18" s="170"/>
      <c r="U18" s="171"/>
    </row>
    <row r="19" spans="1:21" x14ac:dyDescent="0.25">
      <c r="A19" s="197">
        <v>25001</v>
      </c>
      <c r="B19" s="178">
        <v>6</v>
      </c>
      <c r="C19" s="165"/>
      <c r="D19" s="141">
        <v>6</v>
      </c>
      <c r="E19" s="165"/>
      <c r="F19" s="141">
        <v>6</v>
      </c>
      <c r="G19" s="165"/>
      <c r="H19" s="141">
        <v>6</v>
      </c>
      <c r="J19" s="161">
        <v>9</v>
      </c>
      <c r="K19" s="145">
        <v>2</v>
      </c>
      <c r="L19" s="145"/>
      <c r="M19" s="145"/>
      <c r="N19" s="145"/>
      <c r="O19" s="145"/>
      <c r="P19" s="145"/>
      <c r="Q19" s="145"/>
      <c r="R19" s="145"/>
      <c r="S19" s="145">
        <v>20</v>
      </c>
      <c r="T19" s="170"/>
      <c r="U19" s="171"/>
    </row>
    <row r="20" spans="1:21" x14ac:dyDescent="0.25">
      <c r="A20" s="197">
        <v>35001</v>
      </c>
      <c r="B20" s="178">
        <v>7</v>
      </c>
      <c r="C20" s="165"/>
      <c r="D20" s="141">
        <v>7</v>
      </c>
      <c r="E20" s="165"/>
      <c r="F20" s="141">
        <v>7</v>
      </c>
      <c r="G20" s="165"/>
      <c r="H20" s="141">
        <v>7</v>
      </c>
      <c r="J20" s="161">
        <v>10</v>
      </c>
      <c r="K20" s="145">
        <v>2</v>
      </c>
      <c r="L20" s="145"/>
      <c r="M20" s="145"/>
      <c r="N20" s="145"/>
      <c r="O20" s="145"/>
      <c r="P20" s="145"/>
      <c r="Q20" s="145"/>
      <c r="R20" s="145"/>
      <c r="S20" s="145">
        <v>20</v>
      </c>
      <c r="T20" s="170"/>
      <c r="U20" s="171"/>
    </row>
    <row r="21" spans="1:21" x14ac:dyDescent="0.25">
      <c r="A21" s="197">
        <v>50001</v>
      </c>
      <c r="B21" s="178">
        <v>8</v>
      </c>
      <c r="C21" s="165"/>
      <c r="D21" s="141">
        <v>8</v>
      </c>
      <c r="E21" s="165"/>
      <c r="F21" s="141">
        <v>8</v>
      </c>
      <c r="G21" s="165"/>
      <c r="H21" s="141">
        <v>8</v>
      </c>
      <c r="J21" s="161">
        <v>11</v>
      </c>
      <c r="K21" s="145">
        <v>2</v>
      </c>
      <c r="L21" s="145"/>
      <c r="M21" s="145"/>
      <c r="N21" s="145"/>
      <c r="O21" s="145"/>
      <c r="P21" s="145"/>
      <c r="Q21" s="145"/>
      <c r="R21" s="145"/>
      <c r="S21" s="145">
        <v>20</v>
      </c>
      <c r="T21" s="170"/>
      <c r="U21" s="171"/>
    </row>
    <row r="22" spans="1:21" x14ac:dyDescent="0.25">
      <c r="A22" s="197">
        <v>71001</v>
      </c>
      <c r="B22" s="178">
        <v>9</v>
      </c>
      <c r="C22" s="165"/>
      <c r="D22" s="141">
        <v>9</v>
      </c>
      <c r="E22" s="165"/>
      <c r="F22" s="141">
        <v>9</v>
      </c>
      <c r="G22" s="165"/>
      <c r="H22" s="141">
        <v>9</v>
      </c>
      <c r="J22" s="161">
        <v>12</v>
      </c>
      <c r="K22" s="145">
        <v>3</v>
      </c>
      <c r="L22" s="145"/>
      <c r="M22" s="145"/>
      <c r="N22" s="145"/>
      <c r="O22" s="145"/>
      <c r="P22" s="145"/>
      <c r="Q22" s="145"/>
      <c r="R22" s="145"/>
      <c r="S22" s="145">
        <v>20</v>
      </c>
      <c r="T22" s="170"/>
      <c r="U22" s="171"/>
    </row>
    <row r="23" spans="1:21" x14ac:dyDescent="0.25">
      <c r="A23" s="197">
        <v>96501</v>
      </c>
      <c r="B23" s="178">
        <v>10</v>
      </c>
      <c r="C23" s="165"/>
      <c r="D23" s="141">
        <v>10</v>
      </c>
      <c r="E23" s="165"/>
      <c r="F23" s="141">
        <v>10</v>
      </c>
      <c r="G23" s="165"/>
      <c r="H23" s="141">
        <v>10</v>
      </c>
      <c r="J23" s="161">
        <v>13</v>
      </c>
      <c r="K23" s="145">
        <v>3</v>
      </c>
      <c r="L23" s="145"/>
      <c r="M23" s="145"/>
      <c r="N23" s="145"/>
      <c r="O23" s="145"/>
      <c r="P23" s="145"/>
      <c r="Q23" s="145"/>
      <c r="R23" s="145"/>
      <c r="S23" s="145">
        <v>20</v>
      </c>
      <c r="T23" s="170"/>
      <c r="U23" s="171"/>
    </row>
    <row r="24" spans="1:21" x14ac:dyDescent="0.25">
      <c r="A24" s="197">
        <v>135501</v>
      </c>
      <c r="B24" s="178">
        <v>11</v>
      </c>
      <c r="C24" s="165"/>
      <c r="D24" s="141">
        <v>11</v>
      </c>
      <c r="E24" s="165"/>
      <c r="F24" s="141">
        <v>11</v>
      </c>
      <c r="G24" s="165"/>
      <c r="H24" s="141">
        <v>11</v>
      </c>
      <c r="J24" s="161">
        <v>14</v>
      </c>
      <c r="K24" s="145">
        <v>3</v>
      </c>
      <c r="L24" s="145"/>
      <c r="M24" s="145"/>
      <c r="N24" s="145"/>
      <c r="O24" s="145"/>
      <c r="P24" s="145"/>
      <c r="Q24" s="145"/>
      <c r="R24" s="145"/>
      <c r="S24" s="145">
        <v>20</v>
      </c>
      <c r="T24" s="170"/>
      <c r="U24" s="171"/>
    </row>
    <row r="25" spans="1:21" x14ac:dyDescent="0.25">
      <c r="A25" s="197">
        <v>180501</v>
      </c>
      <c r="B25" s="178">
        <v>12</v>
      </c>
      <c r="C25" s="165"/>
      <c r="D25" s="141">
        <v>12</v>
      </c>
      <c r="E25" s="165"/>
      <c r="F25" s="141">
        <v>12</v>
      </c>
      <c r="G25" s="165"/>
      <c r="H25" s="141">
        <v>12</v>
      </c>
      <c r="J25" s="161">
        <v>15</v>
      </c>
      <c r="K25" s="145">
        <v>3</v>
      </c>
      <c r="L25" s="145"/>
      <c r="M25" s="145"/>
      <c r="N25" s="145"/>
      <c r="O25" s="145"/>
      <c r="P25" s="145"/>
      <c r="Q25" s="145"/>
      <c r="R25" s="145"/>
      <c r="S25" s="145">
        <v>20</v>
      </c>
      <c r="T25" s="170"/>
      <c r="U25" s="171"/>
    </row>
    <row r="26" spans="1:21" x14ac:dyDescent="0.25">
      <c r="A26" s="197">
        <v>230501</v>
      </c>
      <c r="B26" s="178">
        <v>13</v>
      </c>
      <c r="C26" s="165"/>
      <c r="D26" s="141">
        <v>13</v>
      </c>
      <c r="E26" s="165"/>
      <c r="F26" s="141">
        <v>13</v>
      </c>
      <c r="G26" s="165"/>
      <c r="H26" s="141">
        <v>13</v>
      </c>
      <c r="J26" s="1074" t="s">
        <v>671</v>
      </c>
      <c r="K26" s="1075"/>
      <c r="L26" s="1075"/>
      <c r="M26" s="1075"/>
      <c r="N26" s="1075"/>
      <c r="O26" s="1075"/>
      <c r="P26" s="1075"/>
      <c r="Q26" s="1075"/>
      <c r="R26" s="1075"/>
      <c r="S26" s="1075"/>
      <c r="T26" s="1075"/>
      <c r="U26" s="1076"/>
    </row>
    <row r="27" spans="1:21" x14ac:dyDescent="0.25">
      <c r="A27" s="197">
        <v>280501</v>
      </c>
      <c r="B27" s="178">
        <v>14</v>
      </c>
      <c r="C27" s="165"/>
      <c r="D27" s="141">
        <v>14</v>
      </c>
      <c r="E27" s="165"/>
      <c r="F27" s="141">
        <v>14</v>
      </c>
      <c r="G27" s="165"/>
      <c r="H27" s="141">
        <v>14</v>
      </c>
      <c r="J27" s="807"/>
      <c r="K27" s="808"/>
      <c r="L27" s="808"/>
      <c r="M27" s="808"/>
      <c r="N27" s="808"/>
      <c r="O27" s="808"/>
      <c r="P27" s="808"/>
      <c r="Q27" s="808"/>
      <c r="R27" s="808"/>
      <c r="S27" s="808"/>
      <c r="T27" s="808"/>
      <c r="U27" s="809"/>
    </row>
    <row r="28" spans="1:21" ht="15.75" thickBot="1" x14ac:dyDescent="0.3">
      <c r="A28" s="198">
        <v>335501</v>
      </c>
      <c r="B28" s="179">
        <v>15</v>
      </c>
      <c r="C28" s="166"/>
      <c r="D28" s="143">
        <v>15</v>
      </c>
      <c r="E28" s="166"/>
      <c r="F28" s="143">
        <v>15</v>
      </c>
      <c r="G28" s="166"/>
      <c r="H28" s="143">
        <v>15</v>
      </c>
      <c r="J28" s="807"/>
      <c r="K28" s="808"/>
      <c r="L28" s="808"/>
      <c r="M28" s="808"/>
      <c r="N28" s="808"/>
      <c r="O28" s="808"/>
      <c r="P28" s="808"/>
      <c r="Q28" s="808"/>
      <c r="R28" s="808"/>
      <c r="S28" s="808"/>
      <c r="T28" s="808"/>
      <c r="U28" s="809"/>
    </row>
    <row r="29" spans="1:21" ht="15.75" thickBot="1" x14ac:dyDescent="0.3">
      <c r="J29" s="810"/>
      <c r="K29" s="811"/>
      <c r="L29" s="811"/>
      <c r="M29" s="811"/>
      <c r="N29" s="811"/>
      <c r="O29" s="811"/>
      <c r="P29" s="811"/>
      <c r="Q29" s="811"/>
      <c r="R29" s="811"/>
      <c r="S29" s="811"/>
      <c r="T29" s="811"/>
      <c r="U29" s="812"/>
    </row>
    <row r="30" spans="1:21" ht="15.75" thickBot="1" x14ac:dyDescent="0.3"/>
    <row r="31" spans="1:21" ht="15.75" thickBot="1" x14ac:dyDescent="0.3">
      <c r="A31" s="1036" t="s">
        <v>668</v>
      </c>
      <c r="B31" s="1037"/>
      <c r="C31" s="1037"/>
      <c r="D31" s="1037"/>
      <c r="E31" s="1037"/>
      <c r="F31" s="1037"/>
      <c r="G31" s="1037"/>
      <c r="H31" s="1038"/>
      <c r="J31" s="1052" t="s">
        <v>669</v>
      </c>
      <c r="K31" s="1053"/>
      <c r="L31" s="1053"/>
      <c r="M31" s="1053"/>
      <c r="N31" s="1053"/>
      <c r="O31" s="1053"/>
      <c r="P31" s="1053"/>
      <c r="Q31" s="1054"/>
    </row>
    <row r="32" spans="1:21" x14ac:dyDescent="0.25">
      <c r="A32" s="1064" t="s">
        <v>5</v>
      </c>
      <c r="B32" s="1065"/>
      <c r="C32" s="1065"/>
      <c r="D32" s="1065"/>
      <c r="E32" s="192" t="s">
        <v>509</v>
      </c>
      <c r="F32" s="192" t="s">
        <v>510</v>
      </c>
      <c r="G32" s="192" t="s">
        <v>511</v>
      </c>
      <c r="H32" s="193" t="s">
        <v>166</v>
      </c>
      <c r="J32" s="1055" t="s">
        <v>5</v>
      </c>
      <c r="K32" s="1056"/>
      <c r="L32" s="1056"/>
      <c r="M32" s="1056"/>
      <c r="N32" s="172" t="s">
        <v>509</v>
      </c>
      <c r="O32" s="172" t="s">
        <v>510</v>
      </c>
      <c r="P32" s="172" t="s">
        <v>511</v>
      </c>
      <c r="Q32" s="173" t="s">
        <v>166</v>
      </c>
    </row>
    <row r="33" spans="1:17" x14ac:dyDescent="0.25">
      <c r="A33" s="1061" t="s">
        <v>334</v>
      </c>
      <c r="B33" s="1062"/>
      <c r="C33" s="1062"/>
      <c r="D33" s="1063"/>
      <c r="E33" s="180">
        <v>30</v>
      </c>
      <c r="F33" s="180"/>
      <c r="G33" s="180"/>
      <c r="H33" s="181">
        <v>5</v>
      </c>
      <c r="J33" s="1034"/>
      <c r="K33" s="1035"/>
      <c r="L33" s="1035"/>
      <c r="M33" s="1035"/>
      <c r="N33" s="29"/>
      <c r="O33" s="29"/>
      <c r="P33" s="29"/>
      <c r="Q33" s="202"/>
    </row>
    <row r="34" spans="1:17" x14ac:dyDescent="0.25">
      <c r="A34" s="1039" t="s">
        <v>352</v>
      </c>
      <c r="B34" s="1040"/>
      <c r="C34" s="1040"/>
      <c r="D34" s="1040"/>
      <c r="E34" s="180">
        <v>35</v>
      </c>
      <c r="F34" s="180">
        <v>20</v>
      </c>
      <c r="G34" s="180"/>
      <c r="H34" s="181">
        <v>5</v>
      </c>
      <c r="J34" s="1034"/>
      <c r="K34" s="1035"/>
      <c r="L34" s="1035"/>
      <c r="M34" s="1035"/>
      <c r="N34" s="29"/>
      <c r="O34" s="29"/>
      <c r="P34" s="29"/>
      <c r="Q34" s="202"/>
    </row>
    <row r="35" spans="1:17" x14ac:dyDescent="0.25">
      <c r="A35" s="1039" t="s">
        <v>365</v>
      </c>
      <c r="B35" s="1040"/>
      <c r="C35" s="1040"/>
      <c r="D35" s="1040"/>
      <c r="E35" s="180">
        <v>15</v>
      </c>
      <c r="F35" s="180">
        <v>20</v>
      </c>
      <c r="G35" s="180"/>
      <c r="H35" s="181">
        <v>5</v>
      </c>
      <c r="J35" s="1034"/>
      <c r="K35" s="1035"/>
      <c r="L35" s="1035"/>
      <c r="M35" s="1035"/>
      <c r="N35" s="29"/>
      <c r="O35" s="29"/>
      <c r="P35" s="29"/>
      <c r="Q35" s="202"/>
    </row>
    <row r="36" spans="1:17" x14ac:dyDescent="0.25">
      <c r="A36" s="1039" t="s">
        <v>403</v>
      </c>
      <c r="B36" s="1040"/>
      <c r="C36" s="1040"/>
      <c r="D36" s="1040"/>
      <c r="E36" s="180">
        <v>16</v>
      </c>
      <c r="F36" s="180"/>
      <c r="G36" s="180"/>
      <c r="H36" s="181">
        <v>4</v>
      </c>
      <c r="J36" s="1034"/>
      <c r="K36" s="1035"/>
      <c r="L36" s="1035"/>
      <c r="M36" s="1035"/>
      <c r="N36" s="29"/>
      <c r="O36" s="29"/>
      <c r="P36" s="29"/>
      <c r="Q36" s="202"/>
    </row>
    <row r="37" spans="1:17" x14ac:dyDescent="0.25">
      <c r="A37" s="1039" t="s">
        <v>426</v>
      </c>
      <c r="B37" s="1040"/>
      <c r="C37" s="1040"/>
      <c r="D37" s="1040"/>
      <c r="E37" s="180">
        <v>25</v>
      </c>
      <c r="F37" s="180">
        <v>15</v>
      </c>
      <c r="G37" s="180">
        <v>10</v>
      </c>
      <c r="H37" s="181">
        <v>5</v>
      </c>
      <c r="J37" s="1034"/>
      <c r="K37" s="1035"/>
      <c r="L37" s="1035"/>
      <c r="M37" s="1035"/>
      <c r="N37" s="29"/>
      <c r="O37" s="29"/>
      <c r="P37" s="29"/>
      <c r="Q37" s="202"/>
    </row>
    <row r="38" spans="1:17" x14ac:dyDescent="0.25">
      <c r="A38" s="1039" t="s">
        <v>477</v>
      </c>
      <c r="B38" s="1040"/>
      <c r="C38" s="1040"/>
      <c r="D38" s="1040"/>
      <c r="E38" s="180">
        <v>30</v>
      </c>
      <c r="F38" s="180"/>
      <c r="G38" s="180"/>
      <c r="H38" s="181">
        <v>5</v>
      </c>
      <c r="J38" s="1034"/>
      <c r="K38" s="1035"/>
      <c r="L38" s="1035"/>
      <c r="M38" s="1035"/>
      <c r="N38" s="29"/>
      <c r="O38" s="29"/>
      <c r="P38" s="29"/>
      <c r="Q38" s="202"/>
    </row>
    <row r="39" spans="1:17" x14ac:dyDescent="0.25">
      <c r="A39" s="1039"/>
      <c r="B39" s="1040"/>
      <c r="C39" s="1040"/>
      <c r="D39" s="1040"/>
      <c r="E39" s="180"/>
      <c r="F39" s="180"/>
      <c r="G39" s="180"/>
      <c r="H39" s="181"/>
      <c r="J39" s="1034"/>
      <c r="K39" s="1035"/>
      <c r="L39" s="1035"/>
      <c r="M39" s="1035"/>
      <c r="N39" s="29"/>
      <c r="O39" s="29"/>
      <c r="P39" s="29"/>
      <c r="Q39" s="202"/>
    </row>
    <row r="40" spans="1:17" x14ac:dyDescent="0.25">
      <c r="A40" s="1039"/>
      <c r="B40" s="1040"/>
      <c r="C40" s="1040"/>
      <c r="D40" s="1040"/>
      <c r="E40" s="180"/>
      <c r="F40" s="180"/>
      <c r="G40" s="180"/>
      <c r="H40" s="181"/>
      <c r="J40" s="1034"/>
      <c r="K40" s="1035"/>
      <c r="L40" s="1035"/>
      <c r="M40" s="1035"/>
      <c r="N40" s="29"/>
      <c r="O40" s="29"/>
      <c r="P40" s="29"/>
      <c r="Q40" s="202"/>
    </row>
    <row r="41" spans="1:17" x14ac:dyDescent="0.25">
      <c r="A41" s="1039"/>
      <c r="B41" s="1040"/>
      <c r="C41" s="1040"/>
      <c r="D41" s="1040"/>
      <c r="E41" s="180"/>
      <c r="F41" s="180"/>
      <c r="G41" s="180"/>
      <c r="H41" s="181"/>
      <c r="J41" s="1034"/>
      <c r="K41" s="1035"/>
      <c r="L41" s="1035"/>
      <c r="M41" s="1035"/>
      <c r="N41" s="29"/>
      <c r="O41" s="29"/>
      <c r="P41" s="29"/>
      <c r="Q41" s="202"/>
    </row>
    <row r="42" spans="1:17" x14ac:dyDescent="0.25">
      <c r="A42" s="1039"/>
      <c r="B42" s="1040"/>
      <c r="C42" s="1040"/>
      <c r="D42" s="1040"/>
      <c r="E42" s="180"/>
      <c r="F42" s="180"/>
      <c r="G42" s="180"/>
      <c r="H42" s="181"/>
      <c r="J42" s="1034"/>
      <c r="K42" s="1035"/>
      <c r="L42" s="1035"/>
      <c r="M42" s="1035"/>
      <c r="N42" s="29"/>
      <c r="O42" s="29"/>
      <c r="P42" s="29"/>
      <c r="Q42" s="202"/>
    </row>
    <row r="43" spans="1:17" x14ac:dyDescent="0.25">
      <c r="A43" s="1039"/>
      <c r="B43" s="1040"/>
      <c r="C43" s="1040"/>
      <c r="D43" s="1040"/>
      <c r="E43" s="180"/>
      <c r="F43" s="180"/>
      <c r="G43" s="180"/>
      <c r="H43" s="181"/>
      <c r="J43" s="1034"/>
      <c r="K43" s="1035"/>
      <c r="L43" s="1035"/>
      <c r="M43" s="1035"/>
      <c r="N43" s="29"/>
      <c r="O43" s="29"/>
      <c r="P43" s="29"/>
      <c r="Q43" s="202"/>
    </row>
    <row r="44" spans="1:17" x14ac:dyDescent="0.25">
      <c r="A44" s="1039"/>
      <c r="B44" s="1040"/>
      <c r="C44" s="1040"/>
      <c r="D44" s="1040"/>
      <c r="E44" s="180"/>
      <c r="F44" s="180"/>
      <c r="G44" s="180"/>
      <c r="H44" s="181"/>
      <c r="J44" s="1034"/>
      <c r="K44" s="1035"/>
      <c r="L44" s="1035"/>
      <c r="M44" s="1035"/>
      <c r="N44" s="29"/>
      <c r="O44" s="29"/>
      <c r="P44" s="29"/>
      <c r="Q44" s="202"/>
    </row>
    <row r="45" spans="1:17" x14ac:dyDescent="0.25">
      <c r="A45" s="1039"/>
      <c r="B45" s="1040"/>
      <c r="C45" s="1040"/>
      <c r="D45" s="1040"/>
      <c r="E45" s="180"/>
      <c r="F45" s="180"/>
      <c r="G45" s="180"/>
      <c r="H45" s="181"/>
      <c r="J45" s="1034"/>
      <c r="K45" s="1035"/>
      <c r="L45" s="1035"/>
      <c r="M45" s="1035"/>
      <c r="N45" s="29"/>
      <c r="O45" s="29"/>
      <c r="P45" s="29"/>
      <c r="Q45" s="202"/>
    </row>
    <row r="46" spans="1:17" x14ac:dyDescent="0.25">
      <c r="A46" s="1039"/>
      <c r="B46" s="1040"/>
      <c r="C46" s="1040"/>
      <c r="D46" s="1040"/>
      <c r="E46" s="180"/>
      <c r="F46" s="180"/>
      <c r="G46" s="180"/>
      <c r="H46" s="181"/>
      <c r="J46" s="1034"/>
      <c r="K46" s="1035"/>
      <c r="L46" s="1035"/>
      <c r="M46" s="1035"/>
      <c r="N46" s="29"/>
      <c r="O46" s="29"/>
      <c r="P46" s="29"/>
      <c r="Q46" s="202"/>
    </row>
    <row r="47" spans="1:17" ht="15" customHeight="1" thickBot="1" x14ac:dyDescent="0.3">
      <c r="A47" s="1059"/>
      <c r="B47" s="1060"/>
      <c r="C47" s="1060"/>
      <c r="D47" s="1060"/>
      <c r="E47" s="190"/>
      <c r="F47" s="190"/>
      <c r="G47" s="190"/>
      <c r="H47" s="191"/>
      <c r="J47" s="1050"/>
      <c r="K47" s="1051"/>
      <c r="L47" s="1051"/>
      <c r="M47" s="1051"/>
      <c r="N47" s="203"/>
      <c r="O47" s="203"/>
      <c r="P47" s="203"/>
      <c r="Q47" s="204"/>
    </row>
    <row r="48" spans="1:17" ht="15.75" thickBot="1" x14ac:dyDescent="0.3"/>
    <row r="49" spans="1:17" ht="15.75" thickBot="1" x14ac:dyDescent="0.3">
      <c r="A49" s="1106" t="s">
        <v>445</v>
      </c>
      <c r="B49" s="1107"/>
      <c r="C49" s="1108"/>
      <c r="D49" s="1109" t="s">
        <v>670</v>
      </c>
      <c r="E49" s="1110"/>
      <c r="F49" s="1110"/>
      <c r="G49" s="1110"/>
      <c r="H49" s="1111"/>
      <c r="J49" s="1092" t="s">
        <v>445</v>
      </c>
      <c r="K49" s="1088"/>
      <c r="L49" s="1089" t="s">
        <v>732</v>
      </c>
      <c r="M49" s="1090"/>
      <c r="N49" s="1091"/>
      <c r="O49" s="1088" t="s">
        <v>682</v>
      </c>
      <c r="P49" s="1088"/>
      <c r="Q49" s="233" t="s">
        <v>683</v>
      </c>
    </row>
    <row r="50" spans="1:17" ht="15.75" thickBot="1" x14ac:dyDescent="0.3">
      <c r="A50" s="182" t="s">
        <v>16</v>
      </c>
      <c r="B50" s="183" t="s">
        <v>75</v>
      </c>
      <c r="C50" s="183" t="s">
        <v>76</v>
      </c>
      <c r="D50" s="183" t="s">
        <v>298</v>
      </c>
      <c r="E50" s="183" t="s">
        <v>240</v>
      </c>
      <c r="F50" s="183" t="s">
        <v>85</v>
      </c>
      <c r="G50" s="183" t="s">
        <v>176</v>
      </c>
      <c r="H50" s="184" t="s">
        <v>299</v>
      </c>
      <c r="J50" s="175" t="s">
        <v>16</v>
      </c>
      <c r="K50" s="176" t="s">
        <v>75</v>
      </c>
      <c r="L50" s="176" t="s">
        <v>76</v>
      </c>
      <c r="M50" s="176" t="s">
        <v>298</v>
      </c>
      <c r="N50" s="176" t="s">
        <v>240</v>
      </c>
      <c r="O50" s="176" t="s">
        <v>85</v>
      </c>
      <c r="P50" s="176" t="s">
        <v>176</v>
      </c>
      <c r="Q50" s="177" t="s">
        <v>674</v>
      </c>
    </row>
    <row r="51" spans="1:17" x14ac:dyDescent="0.25">
      <c r="A51" s="185">
        <v>1</v>
      </c>
      <c r="B51" s="187">
        <v>1</v>
      </c>
      <c r="C51" s="187">
        <v>1</v>
      </c>
      <c r="D51" s="187"/>
      <c r="E51" s="188"/>
      <c r="F51" s="187"/>
      <c r="G51" s="188"/>
      <c r="H51" s="189"/>
      <c r="J51" s="200">
        <v>1</v>
      </c>
      <c r="K51" s="205"/>
      <c r="L51" s="205"/>
      <c r="M51" s="205"/>
      <c r="N51" s="205"/>
      <c r="O51" s="205"/>
      <c r="P51" s="205"/>
      <c r="Q51" s="206"/>
    </row>
    <row r="52" spans="1:17" x14ac:dyDescent="0.25">
      <c r="A52" s="186">
        <v>2</v>
      </c>
      <c r="B52" s="187">
        <v>1</v>
      </c>
      <c r="C52" s="187">
        <v>1</v>
      </c>
      <c r="D52" s="187"/>
      <c r="E52" s="180"/>
      <c r="F52" s="187">
        <v>2</v>
      </c>
      <c r="G52" s="180"/>
      <c r="H52" s="181"/>
      <c r="J52" s="154">
        <v>2</v>
      </c>
      <c r="K52" s="28"/>
      <c r="L52" s="28"/>
      <c r="M52" s="28"/>
      <c r="N52" s="28"/>
      <c r="O52" s="28"/>
      <c r="P52" s="28"/>
      <c r="Q52" s="207"/>
    </row>
    <row r="53" spans="1:17" x14ac:dyDescent="0.25">
      <c r="A53" s="186">
        <v>3</v>
      </c>
      <c r="B53" s="187">
        <v>2</v>
      </c>
      <c r="C53" s="187">
        <v>2</v>
      </c>
      <c r="D53" s="187">
        <v>1</v>
      </c>
      <c r="E53" s="180"/>
      <c r="F53" s="187">
        <v>2</v>
      </c>
      <c r="G53" s="180"/>
      <c r="H53" s="181"/>
      <c r="J53" s="154">
        <v>3</v>
      </c>
      <c r="K53" s="28"/>
      <c r="L53" s="28"/>
      <c r="M53" s="28"/>
      <c r="N53" s="28"/>
      <c r="O53" s="28"/>
      <c r="P53" s="28"/>
      <c r="Q53" s="207"/>
    </row>
    <row r="54" spans="1:17" x14ac:dyDescent="0.25">
      <c r="A54" s="186">
        <v>4</v>
      </c>
      <c r="B54" s="187">
        <v>2</v>
      </c>
      <c r="C54" s="187">
        <v>2</v>
      </c>
      <c r="D54" s="187">
        <v>1</v>
      </c>
      <c r="E54" s="180"/>
      <c r="F54" s="187">
        <v>2</v>
      </c>
      <c r="G54" s="180"/>
      <c r="H54" s="181"/>
      <c r="J54" s="154">
        <v>4</v>
      </c>
      <c r="K54" s="28"/>
      <c r="L54" s="28"/>
      <c r="M54" s="28"/>
      <c r="N54" s="28"/>
      <c r="O54" s="28"/>
      <c r="P54" s="28"/>
      <c r="Q54" s="207"/>
    </row>
    <row r="55" spans="1:17" x14ac:dyDescent="0.25">
      <c r="A55" s="186">
        <v>5</v>
      </c>
      <c r="B55" s="187">
        <v>2</v>
      </c>
      <c r="C55" s="187">
        <v>2</v>
      </c>
      <c r="D55" s="187">
        <v>1</v>
      </c>
      <c r="E55" s="180"/>
      <c r="F55" s="187">
        <v>2</v>
      </c>
      <c r="G55" s="180"/>
      <c r="H55" s="181"/>
      <c r="J55" s="154">
        <v>5</v>
      </c>
      <c r="K55" s="28"/>
      <c r="L55" s="28"/>
      <c r="M55" s="28"/>
      <c r="N55" s="28"/>
      <c r="O55" s="28"/>
      <c r="P55" s="28"/>
      <c r="Q55" s="207"/>
    </row>
    <row r="56" spans="1:17" x14ac:dyDescent="0.25">
      <c r="A56" s="186">
        <v>6</v>
      </c>
      <c r="B56" s="187">
        <v>3</v>
      </c>
      <c r="C56" s="187">
        <v>3</v>
      </c>
      <c r="D56" s="187">
        <v>1</v>
      </c>
      <c r="E56" s="180"/>
      <c r="F56" s="187">
        <v>2</v>
      </c>
      <c r="G56" s="180"/>
      <c r="H56" s="181"/>
      <c r="J56" s="154">
        <v>6</v>
      </c>
      <c r="K56" s="28"/>
      <c r="L56" s="28"/>
      <c r="M56" s="28"/>
      <c r="N56" s="28"/>
      <c r="O56" s="28"/>
      <c r="P56" s="28"/>
      <c r="Q56" s="207"/>
    </row>
    <row r="57" spans="1:17" x14ac:dyDescent="0.25">
      <c r="A57" s="186">
        <v>7</v>
      </c>
      <c r="B57" s="187">
        <v>3</v>
      </c>
      <c r="C57" s="187">
        <v>3</v>
      </c>
      <c r="D57" s="187">
        <v>2</v>
      </c>
      <c r="E57" s="180"/>
      <c r="F57" s="187">
        <v>2</v>
      </c>
      <c r="G57" s="180"/>
      <c r="H57" s="181"/>
      <c r="J57" s="154">
        <v>7</v>
      </c>
      <c r="K57" s="28"/>
      <c r="L57" s="28"/>
      <c r="M57" s="28"/>
      <c r="N57" s="28"/>
      <c r="O57" s="28"/>
      <c r="P57" s="28"/>
      <c r="Q57" s="207"/>
    </row>
    <row r="58" spans="1:17" x14ac:dyDescent="0.25">
      <c r="A58" s="186">
        <v>8</v>
      </c>
      <c r="B58" s="187">
        <v>3</v>
      </c>
      <c r="C58" s="187">
        <v>3</v>
      </c>
      <c r="D58" s="187">
        <v>2</v>
      </c>
      <c r="E58" s="180"/>
      <c r="F58" s="187">
        <v>4</v>
      </c>
      <c r="G58" s="180"/>
      <c r="H58" s="181"/>
      <c r="J58" s="154">
        <v>8</v>
      </c>
      <c r="K58" s="28"/>
      <c r="L58" s="28"/>
      <c r="M58" s="28"/>
      <c r="N58" s="28"/>
      <c r="O58" s="28"/>
      <c r="P58" s="28"/>
      <c r="Q58" s="207"/>
    </row>
    <row r="59" spans="1:17" x14ac:dyDescent="0.25">
      <c r="A59" s="186">
        <v>9</v>
      </c>
      <c r="B59" s="187">
        <v>4</v>
      </c>
      <c r="C59" s="187">
        <v>4</v>
      </c>
      <c r="D59" s="187">
        <v>2</v>
      </c>
      <c r="E59" s="180"/>
      <c r="F59" s="187">
        <v>4</v>
      </c>
      <c r="G59" s="180"/>
      <c r="H59" s="181"/>
      <c r="J59" s="154">
        <v>9</v>
      </c>
      <c r="K59" s="28"/>
      <c r="L59" s="28"/>
      <c r="M59" s="28"/>
      <c r="N59" s="28"/>
      <c r="O59" s="28"/>
      <c r="P59" s="28"/>
      <c r="Q59" s="207"/>
    </row>
    <row r="60" spans="1:17" x14ac:dyDescent="0.25">
      <c r="A60" s="186">
        <v>10</v>
      </c>
      <c r="B60" s="187">
        <v>4</v>
      </c>
      <c r="C60" s="187">
        <v>4</v>
      </c>
      <c r="D60" s="187">
        <v>2</v>
      </c>
      <c r="E60" s="180"/>
      <c r="F60" s="187">
        <v>4</v>
      </c>
      <c r="G60" s="180"/>
      <c r="H60" s="181"/>
      <c r="J60" s="154">
        <v>10</v>
      </c>
      <c r="K60" s="28"/>
      <c r="L60" s="28"/>
      <c r="M60" s="28"/>
      <c r="N60" s="28"/>
      <c r="O60" s="28"/>
      <c r="P60" s="28"/>
      <c r="Q60" s="207"/>
    </row>
    <row r="61" spans="1:17" x14ac:dyDescent="0.25">
      <c r="A61" s="186">
        <v>11</v>
      </c>
      <c r="B61" s="187">
        <v>4</v>
      </c>
      <c r="C61" s="187">
        <v>4</v>
      </c>
      <c r="D61" s="187">
        <v>2</v>
      </c>
      <c r="E61" s="180"/>
      <c r="F61" s="187">
        <v>4</v>
      </c>
      <c r="G61" s="180"/>
      <c r="H61" s="181"/>
      <c r="J61" s="154">
        <v>11</v>
      </c>
      <c r="K61" s="28"/>
      <c r="L61" s="28"/>
      <c r="M61" s="28"/>
      <c r="N61" s="28"/>
      <c r="O61" s="28"/>
      <c r="P61" s="28"/>
      <c r="Q61" s="207"/>
    </row>
    <row r="62" spans="1:17" x14ac:dyDescent="0.25">
      <c r="A62" s="186">
        <v>12</v>
      </c>
      <c r="B62" s="187">
        <v>5</v>
      </c>
      <c r="C62" s="187">
        <v>5</v>
      </c>
      <c r="D62" s="187">
        <v>3</v>
      </c>
      <c r="E62" s="180"/>
      <c r="F62" s="187">
        <v>4</v>
      </c>
      <c r="G62" s="180"/>
      <c r="H62" s="181"/>
      <c r="J62" s="154">
        <v>12</v>
      </c>
      <c r="K62" s="28"/>
      <c r="L62" s="28"/>
      <c r="M62" s="28"/>
      <c r="N62" s="28"/>
      <c r="O62" s="28"/>
      <c r="P62" s="28"/>
      <c r="Q62" s="207"/>
    </row>
    <row r="63" spans="1:17" x14ac:dyDescent="0.25">
      <c r="A63" s="186">
        <v>13</v>
      </c>
      <c r="B63" s="187">
        <v>5</v>
      </c>
      <c r="C63" s="187">
        <v>5</v>
      </c>
      <c r="D63" s="187">
        <v>3</v>
      </c>
      <c r="E63" s="180"/>
      <c r="F63" s="187">
        <v>4</v>
      </c>
      <c r="G63" s="180"/>
      <c r="H63" s="181"/>
      <c r="J63" s="154">
        <v>13</v>
      </c>
      <c r="K63" s="28"/>
      <c r="L63" s="28"/>
      <c r="M63" s="28"/>
      <c r="N63" s="28"/>
      <c r="O63" s="28"/>
      <c r="P63" s="28"/>
      <c r="Q63" s="207"/>
    </row>
    <row r="64" spans="1:17" x14ac:dyDescent="0.25">
      <c r="A64" s="186">
        <v>14</v>
      </c>
      <c r="B64" s="187">
        <v>5</v>
      </c>
      <c r="C64" s="187">
        <v>5</v>
      </c>
      <c r="D64" s="187">
        <v>3</v>
      </c>
      <c r="E64" s="180"/>
      <c r="F64" s="187">
        <v>4</v>
      </c>
      <c r="G64" s="180"/>
      <c r="H64" s="181"/>
      <c r="J64" s="154">
        <v>14</v>
      </c>
      <c r="K64" s="28"/>
      <c r="L64" s="28"/>
      <c r="M64" s="28"/>
      <c r="N64" s="28"/>
      <c r="O64" s="28"/>
      <c r="P64" s="28"/>
      <c r="Q64" s="207"/>
    </row>
    <row r="65" spans="1:17" ht="15.75" thickBot="1" x14ac:dyDescent="0.3">
      <c r="A65" s="276">
        <v>15</v>
      </c>
      <c r="B65" s="277">
        <v>5</v>
      </c>
      <c r="C65" s="277">
        <v>5</v>
      </c>
      <c r="D65" s="277">
        <v>3</v>
      </c>
      <c r="E65" s="278"/>
      <c r="F65" s="277">
        <v>4</v>
      </c>
      <c r="G65" s="278"/>
      <c r="H65" s="279"/>
      <c r="J65" s="174">
        <v>15</v>
      </c>
      <c r="K65" s="31"/>
      <c r="L65" s="31"/>
      <c r="M65" s="31"/>
      <c r="N65" s="31"/>
      <c r="O65" s="31"/>
      <c r="P65" s="31"/>
      <c r="Q65" s="208"/>
    </row>
    <row r="66" spans="1:17" ht="15.75" thickBot="1" x14ac:dyDescent="0.3">
      <c r="A66" s="1097" t="s">
        <v>458</v>
      </c>
      <c r="B66" s="1098"/>
      <c r="C66" s="124" t="s">
        <v>214</v>
      </c>
      <c r="D66" s="124" t="s">
        <v>298</v>
      </c>
      <c r="E66" s="124" t="s">
        <v>240</v>
      </c>
      <c r="F66" s="124" t="s">
        <v>85</v>
      </c>
      <c r="G66" s="124" t="s">
        <v>176</v>
      </c>
      <c r="H66" s="134" t="s">
        <v>299</v>
      </c>
      <c r="J66" s="1099" t="str">
        <f>wp_custom1</f>
        <v>W.P. #1</v>
      </c>
      <c r="K66" s="1100"/>
      <c r="L66" s="124" t="s">
        <v>214</v>
      </c>
      <c r="M66" s="124" t="s">
        <v>298</v>
      </c>
      <c r="N66" s="124" t="s">
        <v>240</v>
      </c>
      <c r="O66" s="124" t="s">
        <v>85</v>
      </c>
      <c r="P66" s="124" t="s">
        <v>176</v>
      </c>
      <c r="Q66" s="134" t="s">
        <v>299</v>
      </c>
    </row>
    <row r="67" spans="1:17" ht="15.75" thickBot="1" x14ac:dyDescent="0.3">
      <c r="A67" s="1093" t="s">
        <v>730</v>
      </c>
      <c r="B67" s="1094"/>
      <c r="C67" s="280"/>
      <c r="D67" s="280"/>
      <c r="E67" s="280"/>
      <c r="F67" s="280"/>
      <c r="G67" s="280"/>
      <c r="H67" s="281"/>
      <c r="J67" s="1101" t="s">
        <v>730</v>
      </c>
      <c r="K67" s="1102"/>
      <c r="L67" s="284"/>
      <c r="M67" s="284"/>
      <c r="N67" s="284"/>
      <c r="O67" s="284"/>
      <c r="P67" s="284"/>
      <c r="Q67" s="285"/>
    </row>
    <row r="68" spans="1:17" ht="15.75" thickBot="1" x14ac:dyDescent="0.3">
      <c r="A68" s="1095" t="s">
        <v>731</v>
      </c>
      <c r="B68" s="1096"/>
      <c r="C68" s="282"/>
      <c r="D68" s="282"/>
      <c r="E68" s="282"/>
      <c r="F68" s="282"/>
      <c r="G68" s="282"/>
      <c r="H68" s="283"/>
      <c r="J68" s="1103" t="s">
        <v>731</v>
      </c>
      <c r="K68" s="1104"/>
      <c r="L68" s="286"/>
      <c r="M68" s="286"/>
      <c r="N68" s="286"/>
      <c r="O68" s="286"/>
      <c r="P68" s="286"/>
      <c r="Q68" s="287"/>
    </row>
    <row r="69" spans="1:17" ht="15.75" thickBot="1" x14ac:dyDescent="0.3"/>
    <row r="70" spans="1:17" ht="15.75" thickBot="1" x14ac:dyDescent="0.3">
      <c r="A70" s="1092" t="s">
        <v>445</v>
      </c>
      <c r="B70" s="1088"/>
      <c r="C70" s="1089" t="s">
        <v>733</v>
      </c>
      <c r="D70" s="1090"/>
      <c r="E70" s="1091"/>
      <c r="F70" s="1088" t="s">
        <v>682</v>
      </c>
      <c r="G70" s="1088"/>
      <c r="H70" s="233" t="s">
        <v>683</v>
      </c>
      <c r="J70" s="1092" t="s">
        <v>445</v>
      </c>
      <c r="K70" s="1088"/>
      <c r="L70" s="1089" t="s">
        <v>734</v>
      </c>
      <c r="M70" s="1090"/>
      <c r="N70" s="1091"/>
      <c r="O70" s="1088" t="s">
        <v>682</v>
      </c>
      <c r="P70" s="1088"/>
      <c r="Q70" s="233" t="s">
        <v>683</v>
      </c>
    </row>
    <row r="71" spans="1:17" ht="15.75" thickBot="1" x14ac:dyDescent="0.3">
      <c r="A71" s="201" t="s">
        <v>16</v>
      </c>
      <c r="B71" s="124" t="s">
        <v>75</v>
      </c>
      <c r="C71" s="124" t="s">
        <v>76</v>
      </c>
      <c r="D71" s="124" t="s">
        <v>298</v>
      </c>
      <c r="E71" s="124" t="s">
        <v>240</v>
      </c>
      <c r="F71" s="124" t="s">
        <v>85</v>
      </c>
      <c r="G71" s="124" t="s">
        <v>176</v>
      </c>
      <c r="H71" s="134" t="s">
        <v>674</v>
      </c>
      <c r="J71" s="201" t="s">
        <v>16</v>
      </c>
      <c r="K71" s="124" t="s">
        <v>75</v>
      </c>
      <c r="L71" s="124" t="s">
        <v>76</v>
      </c>
      <c r="M71" s="124" t="s">
        <v>298</v>
      </c>
      <c r="N71" s="124" t="s">
        <v>240</v>
      </c>
      <c r="O71" s="124" t="s">
        <v>85</v>
      </c>
      <c r="P71" s="124" t="s">
        <v>176</v>
      </c>
      <c r="Q71" s="134" t="s">
        <v>674</v>
      </c>
    </row>
    <row r="72" spans="1:17" x14ac:dyDescent="0.25">
      <c r="A72" s="153">
        <v>1</v>
      </c>
      <c r="B72" s="28"/>
      <c r="C72" s="28"/>
      <c r="D72" s="28"/>
      <c r="E72" s="28"/>
      <c r="F72" s="28"/>
      <c r="G72" s="28"/>
      <c r="H72" s="207"/>
      <c r="J72" s="153">
        <v>1</v>
      </c>
      <c r="K72" s="28"/>
      <c r="L72" s="28"/>
      <c r="M72" s="28"/>
      <c r="N72" s="28"/>
      <c r="O72" s="28"/>
      <c r="P72" s="28"/>
      <c r="Q72" s="207"/>
    </row>
    <row r="73" spans="1:17" x14ac:dyDescent="0.25">
      <c r="A73" s="154">
        <v>2</v>
      </c>
      <c r="B73" s="28"/>
      <c r="C73" s="28"/>
      <c r="D73" s="28"/>
      <c r="E73" s="28"/>
      <c r="F73" s="28"/>
      <c r="G73" s="28"/>
      <c r="H73" s="207"/>
      <c r="J73" s="154">
        <v>2</v>
      </c>
      <c r="K73" s="29"/>
      <c r="L73" s="29"/>
      <c r="M73" s="29"/>
      <c r="N73" s="29"/>
      <c r="O73" s="29"/>
      <c r="P73" s="29"/>
      <c r="Q73" s="202"/>
    </row>
    <row r="74" spans="1:17" x14ac:dyDescent="0.25">
      <c r="A74" s="154">
        <v>3</v>
      </c>
      <c r="B74" s="28"/>
      <c r="C74" s="28"/>
      <c r="D74" s="28"/>
      <c r="E74" s="28"/>
      <c r="F74" s="28"/>
      <c r="G74" s="28"/>
      <c r="H74" s="207"/>
      <c r="J74" s="154">
        <v>3</v>
      </c>
      <c r="K74" s="28"/>
      <c r="L74" s="28"/>
      <c r="M74" s="28"/>
      <c r="N74" s="28"/>
      <c r="O74" s="28"/>
      <c r="P74" s="28"/>
      <c r="Q74" s="207"/>
    </row>
    <row r="75" spans="1:17" x14ac:dyDescent="0.25">
      <c r="A75" s="154">
        <v>4</v>
      </c>
      <c r="B75" s="28"/>
      <c r="C75" s="28"/>
      <c r="D75" s="28"/>
      <c r="E75" s="28"/>
      <c r="F75" s="28"/>
      <c r="G75" s="28"/>
      <c r="H75" s="207"/>
      <c r="J75" s="154">
        <v>4</v>
      </c>
      <c r="K75" s="29"/>
      <c r="L75" s="29"/>
      <c r="M75" s="29"/>
      <c r="N75" s="29"/>
      <c r="O75" s="29"/>
      <c r="P75" s="29"/>
      <c r="Q75" s="202"/>
    </row>
    <row r="76" spans="1:17" x14ac:dyDescent="0.25">
      <c r="A76" s="154">
        <v>5</v>
      </c>
      <c r="B76" s="28"/>
      <c r="C76" s="28"/>
      <c r="D76" s="28"/>
      <c r="E76" s="28"/>
      <c r="F76" s="28"/>
      <c r="G76" s="28"/>
      <c r="H76" s="207"/>
      <c r="J76" s="154">
        <v>5</v>
      </c>
      <c r="K76" s="28"/>
      <c r="L76" s="28"/>
      <c r="M76" s="28"/>
      <c r="N76" s="28"/>
      <c r="O76" s="28"/>
      <c r="P76" s="28"/>
      <c r="Q76" s="207"/>
    </row>
    <row r="77" spans="1:17" x14ac:dyDescent="0.25">
      <c r="A77" s="154">
        <v>6</v>
      </c>
      <c r="B77" s="28"/>
      <c r="C77" s="28"/>
      <c r="D77" s="28"/>
      <c r="E77" s="28"/>
      <c r="F77" s="28"/>
      <c r="G77" s="28"/>
      <c r="H77" s="207"/>
      <c r="J77" s="154">
        <v>6</v>
      </c>
      <c r="K77" s="29"/>
      <c r="L77" s="29"/>
      <c r="M77" s="29"/>
      <c r="N77" s="29"/>
      <c r="O77" s="29"/>
      <c r="P77" s="29"/>
      <c r="Q77" s="202"/>
    </row>
    <row r="78" spans="1:17" x14ac:dyDescent="0.25">
      <c r="A78" s="154">
        <v>7</v>
      </c>
      <c r="B78" s="28"/>
      <c r="C78" s="28"/>
      <c r="D78" s="28"/>
      <c r="E78" s="28"/>
      <c r="F78" s="28"/>
      <c r="G78" s="28"/>
      <c r="H78" s="207"/>
      <c r="J78" s="154">
        <v>7</v>
      </c>
      <c r="K78" s="28"/>
      <c r="L78" s="28"/>
      <c r="M78" s="28"/>
      <c r="N78" s="28"/>
      <c r="O78" s="28"/>
      <c r="P78" s="28"/>
      <c r="Q78" s="207"/>
    </row>
    <row r="79" spans="1:17" x14ac:dyDescent="0.25">
      <c r="A79" s="154">
        <v>8</v>
      </c>
      <c r="B79" s="28"/>
      <c r="C79" s="28"/>
      <c r="D79" s="28"/>
      <c r="E79" s="28"/>
      <c r="F79" s="28"/>
      <c r="G79" s="28"/>
      <c r="H79" s="207"/>
      <c r="J79" s="154">
        <v>8</v>
      </c>
      <c r="K79" s="29"/>
      <c r="L79" s="29"/>
      <c r="M79" s="29"/>
      <c r="N79" s="29"/>
      <c r="O79" s="29"/>
      <c r="P79" s="29"/>
      <c r="Q79" s="202"/>
    </row>
    <row r="80" spans="1:17" x14ac:dyDescent="0.25">
      <c r="A80" s="154">
        <v>9</v>
      </c>
      <c r="B80" s="28"/>
      <c r="C80" s="28"/>
      <c r="D80" s="28"/>
      <c r="E80" s="28"/>
      <c r="F80" s="28"/>
      <c r="G80" s="28"/>
      <c r="H80" s="207"/>
      <c r="J80" s="154">
        <v>9</v>
      </c>
      <c r="K80" s="28"/>
      <c r="L80" s="28"/>
      <c r="M80" s="28"/>
      <c r="N80" s="28"/>
      <c r="O80" s="28"/>
      <c r="P80" s="28"/>
      <c r="Q80" s="207"/>
    </row>
    <row r="81" spans="1:17" x14ac:dyDescent="0.25">
      <c r="A81" s="154">
        <v>10</v>
      </c>
      <c r="B81" s="28"/>
      <c r="C81" s="28"/>
      <c r="D81" s="28"/>
      <c r="E81" s="28"/>
      <c r="F81" s="28"/>
      <c r="G81" s="28"/>
      <c r="H81" s="207"/>
      <c r="J81" s="154">
        <v>10</v>
      </c>
      <c r="K81" s="29"/>
      <c r="L81" s="29"/>
      <c r="M81" s="29"/>
      <c r="N81" s="29"/>
      <c r="O81" s="29"/>
      <c r="P81" s="29"/>
      <c r="Q81" s="202"/>
    </row>
    <row r="82" spans="1:17" x14ac:dyDescent="0.25">
      <c r="A82" s="154">
        <v>11</v>
      </c>
      <c r="B82" s="28"/>
      <c r="C82" s="28"/>
      <c r="D82" s="28"/>
      <c r="E82" s="28"/>
      <c r="F82" s="28"/>
      <c r="G82" s="28"/>
      <c r="H82" s="207"/>
      <c r="J82" s="154">
        <v>11</v>
      </c>
      <c r="K82" s="28"/>
      <c r="L82" s="28"/>
      <c r="M82" s="28"/>
      <c r="N82" s="28"/>
      <c r="O82" s="28"/>
      <c r="P82" s="28"/>
      <c r="Q82" s="207"/>
    </row>
    <row r="83" spans="1:17" x14ac:dyDescent="0.25">
      <c r="A83" s="154">
        <v>12</v>
      </c>
      <c r="B83" s="28"/>
      <c r="C83" s="28"/>
      <c r="D83" s="28"/>
      <c r="E83" s="28"/>
      <c r="F83" s="28"/>
      <c r="G83" s="28"/>
      <c r="H83" s="207"/>
      <c r="J83" s="154">
        <v>12</v>
      </c>
      <c r="K83" s="29"/>
      <c r="L83" s="29"/>
      <c r="M83" s="29"/>
      <c r="N83" s="29"/>
      <c r="O83" s="29"/>
      <c r="P83" s="29"/>
      <c r="Q83" s="202"/>
    </row>
    <row r="84" spans="1:17" x14ac:dyDescent="0.25">
      <c r="A84" s="154">
        <v>13</v>
      </c>
      <c r="B84" s="28"/>
      <c r="C84" s="28"/>
      <c r="D84" s="28"/>
      <c r="E84" s="28"/>
      <c r="F84" s="28"/>
      <c r="G84" s="28"/>
      <c r="H84" s="207"/>
      <c r="J84" s="154">
        <v>13</v>
      </c>
      <c r="K84" s="28"/>
      <c r="L84" s="28"/>
      <c r="M84" s="28"/>
      <c r="N84" s="28"/>
      <c r="O84" s="28"/>
      <c r="P84" s="28"/>
      <c r="Q84" s="207"/>
    </row>
    <row r="85" spans="1:17" x14ac:dyDescent="0.25">
      <c r="A85" s="154">
        <v>14</v>
      </c>
      <c r="B85" s="28"/>
      <c r="C85" s="28"/>
      <c r="D85" s="28"/>
      <c r="E85" s="28"/>
      <c r="F85" s="28"/>
      <c r="G85" s="28"/>
      <c r="H85" s="207"/>
      <c r="J85" s="154">
        <v>14</v>
      </c>
      <c r="K85" s="29"/>
      <c r="L85" s="29"/>
      <c r="M85" s="29"/>
      <c r="N85" s="29"/>
      <c r="O85" s="29"/>
      <c r="P85" s="29"/>
      <c r="Q85" s="202"/>
    </row>
    <row r="86" spans="1:17" ht="15.75" thickBot="1" x14ac:dyDescent="0.3">
      <c r="A86" s="174">
        <v>15</v>
      </c>
      <c r="B86" s="31"/>
      <c r="C86" s="31"/>
      <c r="D86" s="31"/>
      <c r="E86" s="31"/>
      <c r="F86" s="31"/>
      <c r="G86" s="31"/>
      <c r="H86" s="208"/>
      <c r="J86" s="174">
        <v>15</v>
      </c>
      <c r="K86" s="31"/>
      <c r="L86" s="31"/>
      <c r="M86" s="31"/>
      <c r="N86" s="31"/>
      <c r="O86" s="31"/>
      <c r="P86" s="31"/>
      <c r="Q86" s="208"/>
    </row>
    <row r="87" spans="1:17" ht="15.75" thickBot="1" x14ac:dyDescent="0.3">
      <c r="A87" s="1099" t="str">
        <f>wp_custom2</f>
        <v>W.P. #2</v>
      </c>
      <c r="B87" s="1105"/>
      <c r="C87" s="124" t="s">
        <v>214</v>
      </c>
      <c r="D87" s="124" t="s">
        <v>298</v>
      </c>
      <c r="E87" s="124" t="s">
        <v>240</v>
      </c>
      <c r="F87" s="124" t="s">
        <v>85</v>
      </c>
      <c r="G87" s="124" t="s">
        <v>176</v>
      </c>
      <c r="H87" s="134" t="s">
        <v>299</v>
      </c>
      <c r="J87" s="1099" t="str">
        <f>wp_custom3</f>
        <v>W.P. #3</v>
      </c>
      <c r="K87" s="1105"/>
      <c r="L87" s="124" t="s">
        <v>214</v>
      </c>
      <c r="M87" s="124" t="s">
        <v>298</v>
      </c>
      <c r="N87" s="124" t="s">
        <v>240</v>
      </c>
      <c r="O87" s="124" t="s">
        <v>85</v>
      </c>
      <c r="P87" s="124" t="s">
        <v>176</v>
      </c>
      <c r="Q87" s="134" t="s">
        <v>299</v>
      </c>
    </row>
    <row r="88" spans="1:17" ht="15.75" thickBot="1" x14ac:dyDescent="0.3">
      <c r="A88" s="1101" t="s">
        <v>730</v>
      </c>
      <c r="B88" s="1102"/>
      <c r="C88" s="284"/>
      <c r="D88" s="284"/>
      <c r="E88" s="284"/>
      <c r="F88" s="284"/>
      <c r="G88" s="284"/>
      <c r="H88" s="285"/>
      <c r="J88" s="1101" t="s">
        <v>730</v>
      </c>
      <c r="K88" s="1102"/>
      <c r="L88" s="284"/>
      <c r="M88" s="284"/>
      <c r="N88" s="284"/>
      <c r="O88" s="284"/>
      <c r="P88" s="284"/>
      <c r="Q88" s="285"/>
    </row>
    <row r="89" spans="1:17" ht="15.75" thickBot="1" x14ac:dyDescent="0.3">
      <c r="A89" s="1101" t="s">
        <v>731</v>
      </c>
      <c r="B89" s="1102"/>
      <c r="C89" s="286"/>
      <c r="D89" s="286"/>
      <c r="E89" s="286"/>
      <c r="F89" s="286"/>
      <c r="G89" s="286"/>
      <c r="H89" s="287"/>
      <c r="J89" s="1101" t="s">
        <v>731</v>
      </c>
      <c r="K89" s="1102"/>
      <c r="L89" s="286"/>
      <c r="M89" s="286"/>
      <c r="N89" s="286"/>
      <c r="O89" s="286"/>
      <c r="P89" s="286"/>
      <c r="Q89" s="287"/>
    </row>
  </sheetData>
  <sheetProtection algorithmName="SHA-512" hashValue="KMEVSzYp98Pm4bphM6L/6xDw9Cae4mbJ6mo5ZFq0+lYjllSYL+BguGRqg12Yl+UvaeXaOCKmYsm+sio1xB79zg==" saltValue="q0FgAhKLtfgIEIzf/3SAZg==" spinCount="100000" sheet="1" objects="1" selectLockedCells="1"/>
  <mergeCells count="78">
    <mergeCell ref="J87:K87"/>
    <mergeCell ref="J88:K88"/>
    <mergeCell ref="J89:K89"/>
    <mergeCell ref="A49:C49"/>
    <mergeCell ref="D49:H49"/>
    <mergeCell ref="A87:B87"/>
    <mergeCell ref="A88:B88"/>
    <mergeCell ref="A89:B89"/>
    <mergeCell ref="J49:K49"/>
    <mergeCell ref="L9:P9"/>
    <mergeCell ref="A9:B9"/>
    <mergeCell ref="O49:P49"/>
    <mergeCell ref="L49:N49"/>
    <mergeCell ref="A70:B70"/>
    <mergeCell ref="C70:E70"/>
    <mergeCell ref="F70:G70"/>
    <mergeCell ref="J70:K70"/>
    <mergeCell ref="L70:N70"/>
    <mergeCell ref="O70:P70"/>
    <mergeCell ref="A67:B67"/>
    <mergeCell ref="A68:B68"/>
    <mergeCell ref="A66:B66"/>
    <mergeCell ref="J66:K66"/>
    <mergeCell ref="J67:K67"/>
    <mergeCell ref="J68:K68"/>
    <mergeCell ref="J42:M42"/>
    <mergeCell ref="J43:M43"/>
    <mergeCell ref="A1:U1"/>
    <mergeCell ref="J9:K9"/>
    <mergeCell ref="J26:U29"/>
    <mergeCell ref="C12:D12"/>
    <mergeCell ref="C10:D10"/>
    <mergeCell ref="C11:D11"/>
    <mergeCell ref="E11:F11"/>
    <mergeCell ref="E12:F12"/>
    <mergeCell ref="G10:H10"/>
    <mergeCell ref="G11:H11"/>
    <mergeCell ref="G12:H12"/>
    <mergeCell ref="C9:D9"/>
    <mergeCell ref="E9:F9"/>
    <mergeCell ref="G9:H9"/>
    <mergeCell ref="E10:F10"/>
    <mergeCell ref="A44:D44"/>
    <mergeCell ref="A45:D45"/>
    <mergeCell ref="A46:D46"/>
    <mergeCell ref="A47:D47"/>
    <mergeCell ref="A33:D33"/>
    <mergeCell ref="A37:D37"/>
    <mergeCell ref="A38:D38"/>
    <mergeCell ref="A32:D32"/>
    <mergeCell ref="A10:B10"/>
    <mergeCell ref="A11:B11"/>
    <mergeCell ref="A12:B12"/>
    <mergeCell ref="A40:D40"/>
    <mergeCell ref="A41:D41"/>
    <mergeCell ref="A42:D42"/>
    <mergeCell ref="A2:U7"/>
    <mergeCell ref="J47:M47"/>
    <mergeCell ref="J44:M44"/>
    <mergeCell ref="J45:M45"/>
    <mergeCell ref="J35:M35"/>
    <mergeCell ref="J36:M36"/>
    <mergeCell ref="J37:M37"/>
    <mergeCell ref="J38:M38"/>
    <mergeCell ref="J31:Q31"/>
    <mergeCell ref="J32:M32"/>
    <mergeCell ref="J33:M33"/>
    <mergeCell ref="J34:M34"/>
    <mergeCell ref="J46:M46"/>
    <mergeCell ref="A43:D43"/>
    <mergeCell ref="J40:M40"/>
    <mergeCell ref="J41:M41"/>
    <mergeCell ref="J39:M39"/>
    <mergeCell ref="A31:H31"/>
    <mergeCell ref="A39:D39"/>
    <mergeCell ref="A34:D34"/>
    <mergeCell ref="A35:D35"/>
    <mergeCell ref="A36:D36"/>
  </mergeCells>
  <dataValidations count="1">
    <dataValidation type="list" allowBlank="1" showInputMessage="1" showErrorMessage="1" sqref="Q49 H70 Q70" xr:uid="{A323410B-4334-45F0-BB6F-97CC61DD369A}">
      <formula1>attack_type</formula1>
    </dataValidation>
  </dataValidations>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6386" r:id="rId4" name="Group Box 2">
              <controlPr defaultSize="0" autoFill="0" autoPict="0">
                <anchor moveWithCells="1">
                  <from>
                    <xdr:col>2</xdr:col>
                    <xdr:colOff>0</xdr:colOff>
                    <xdr:row>65</xdr:row>
                    <xdr:rowOff>190500</xdr:rowOff>
                  </from>
                  <to>
                    <xdr:col>8</xdr:col>
                    <xdr:colOff>0</xdr:colOff>
                    <xdr:row>66</xdr:row>
                    <xdr:rowOff>190500</xdr:rowOff>
                  </to>
                </anchor>
              </controlPr>
            </control>
          </mc:Choice>
        </mc:AlternateContent>
        <mc:AlternateContent xmlns:mc="http://schemas.openxmlformats.org/markup-compatibility/2006">
          <mc:Choice Requires="x14">
            <control shapeId="16387" r:id="rId5" name="Option Button 3">
              <controlPr defaultSize="0" autoFill="0" autoLine="0" autoPict="0">
                <anchor moveWithCells="1">
                  <from>
                    <xdr:col>2</xdr:col>
                    <xdr:colOff>180975</xdr:colOff>
                    <xdr:row>66</xdr:row>
                    <xdr:rowOff>9525</xdr:rowOff>
                  </from>
                  <to>
                    <xdr:col>2</xdr:col>
                    <xdr:colOff>495300</xdr:colOff>
                    <xdr:row>66</xdr:row>
                    <xdr:rowOff>190500</xdr:rowOff>
                  </to>
                </anchor>
              </controlPr>
            </control>
          </mc:Choice>
        </mc:AlternateContent>
        <mc:AlternateContent xmlns:mc="http://schemas.openxmlformats.org/markup-compatibility/2006">
          <mc:Choice Requires="x14">
            <control shapeId="16388" r:id="rId6" name="Option Button 4">
              <controlPr defaultSize="0" autoFill="0" autoLine="0" autoPict="0">
                <anchor moveWithCells="1">
                  <from>
                    <xdr:col>3</xdr:col>
                    <xdr:colOff>180975</xdr:colOff>
                    <xdr:row>66</xdr:row>
                    <xdr:rowOff>9525</xdr:rowOff>
                  </from>
                  <to>
                    <xdr:col>3</xdr:col>
                    <xdr:colOff>495300</xdr:colOff>
                    <xdr:row>66</xdr:row>
                    <xdr:rowOff>190500</xdr:rowOff>
                  </to>
                </anchor>
              </controlPr>
            </control>
          </mc:Choice>
        </mc:AlternateContent>
        <mc:AlternateContent xmlns:mc="http://schemas.openxmlformats.org/markup-compatibility/2006">
          <mc:Choice Requires="x14">
            <control shapeId="16389" r:id="rId7" name="Option Button 5">
              <controlPr defaultSize="0" autoFill="0" autoLine="0" autoPict="0">
                <anchor moveWithCells="1">
                  <from>
                    <xdr:col>4</xdr:col>
                    <xdr:colOff>180975</xdr:colOff>
                    <xdr:row>66</xdr:row>
                    <xdr:rowOff>9525</xdr:rowOff>
                  </from>
                  <to>
                    <xdr:col>4</xdr:col>
                    <xdr:colOff>495300</xdr:colOff>
                    <xdr:row>66</xdr:row>
                    <xdr:rowOff>190500</xdr:rowOff>
                  </to>
                </anchor>
              </controlPr>
            </control>
          </mc:Choice>
        </mc:AlternateContent>
        <mc:AlternateContent xmlns:mc="http://schemas.openxmlformats.org/markup-compatibility/2006">
          <mc:Choice Requires="x14">
            <control shapeId="16390" r:id="rId8" name="Option Button 6">
              <controlPr defaultSize="0" autoFill="0" autoLine="0" autoPict="0">
                <anchor moveWithCells="1">
                  <from>
                    <xdr:col>5</xdr:col>
                    <xdr:colOff>180975</xdr:colOff>
                    <xdr:row>66</xdr:row>
                    <xdr:rowOff>9525</xdr:rowOff>
                  </from>
                  <to>
                    <xdr:col>5</xdr:col>
                    <xdr:colOff>495300</xdr:colOff>
                    <xdr:row>66</xdr:row>
                    <xdr:rowOff>190500</xdr:rowOff>
                  </to>
                </anchor>
              </controlPr>
            </control>
          </mc:Choice>
        </mc:AlternateContent>
        <mc:AlternateContent xmlns:mc="http://schemas.openxmlformats.org/markup-compatibility/2006">
          <mc:Choice Requires="x14">
            <control shapeId="16391" r:id="rId9" name="Option Button 7">
              <controlPr defaultSize="0" autoFill="0" autoLine="0" autoPict="0">
                <anchor moveWithCells="1">
                  <from>
                    <xdr:col>6</xdr:col>
                    <xdr:colOff>180975</xdr:colOff>
                    <xdr:row>66</xdr:row>
                    <xdr:rowOff>9525</xdr:rowOff>
                  </from>
                  <to>
                    <xdr:col>6</xdr:col>
                    <xdr:colOff>495300</xdr:colOff>
                    <xdr:row>66</xdr:row>
                    <xdr:rowOff>190500</xdr:rowOff>
                  </to>
                </anchor>
              </controlPr>
            </control>
          </mc:Choice>
        </mc:AlternateContent>
        <mc:AlternateContent xmlns:mc="http://schemas.openxmlformats.org/markup-compatibility/2006">
          <mc:Choice Requires="x14">
            <control shapeId="16392" r:id="rId10" name="Option Button 8">
              <controlPr defaultSize="0" autoFill="0" autoLine="0" autoPict="0">
                <anchor moveWithCells="1">
                  <from>
                    <xdr:col>7</xdr:col>
                    <xdr:colOff>180975</xdr:colOff>
                    <xdr:row>66</xdr:row>
                    <xdr:rowOff>9525</xdr:rowOff>
                  </from>
                  <to>
                    <xdr:col>7</xdr:col>
                    <xdr:colOff>495300</xdr:colOff>
                    <xdr:row>66</xdr:row>
                    <xdr:rowOff>190500</xdr:rowOff>
                  </to>
                </anchor>
              </controlPr>
            </control>
          </mc:Choice>
        </mc:AlternateContent>
        <mc:AlternateContent xmlns:mc="http://schemas.openxmlformats.org/markup-compatibility/2006">
          <mc:Choice Requires="x14">
            <control shapeId="16393" r:id="rId11" name="Group Box 9">
              <controlPr defaultSize="0" autoFill="0" autoPict="0">
                <anchor moveWithCells="1">
                  <from>
                    <xdr:col>2</xdr:col>
                    <xdr:colOff>0</xdr:colOff>
                    <xdr:row>66</xdr:row>
                    <xdr:rowOff>190500</xdr:rowOff>
                  </from>
                  <to>
                    <xdr:col>8</xdr:col>
                    <xdr:colOff>0</xdr:colOff>
                    <xdr:row>67</xdr:row>
                    <xdr:rowOff>190500</xdr:rowOff>
                  </to>
                </anchor>
              </controlPr>
            </control>
          </mc:Choice>
        </mc:AlternateContent>
        <mc:AlternateContent xmlns:mc="http://schemas.openxmlformats.org/markup-compatibility/2006">
          <mc:Choice Requires="x14">
            <control shapeId="16394" r:id="rId12" name="Option Button 10">
              <controlPr defaultSize="0" autoFill="0" autoLine="0" autoPict="0">
                <anchor moveWithCells="1">
                  <from>
                    <xdr:col>2</xdr:col>
                    <xdr:colOff>180975</xdr:colOff>
                    <xdr:row>67</xdr:row>
                    <xdr:rowOff>9525</xdr:rowOff>
                  </from>
                  <to>
                    <xdr:col>2</xdr:col>
                    <xdr:colOff>495300</xdr:colOff>
                    <xdr:row>67</xdr:row>
                    <xdr:rowOff>190500</xdr:rowOff>
                  </to>
                </anchor>
              </controlPr>
            </control>
          </mc:Choice>
        </mc:AlternateContent>
        <mc:AlternateContent xmlns:mc="http://schemas.openxmlformats.org/markup-compatibility/2006">
          <mc:Choice Requires="x14">
            <control shapeId="16395" r:id="rId13" name="Option Button 11">
              <controlPr defaultSize="0" autoFill="0" autoLine="0" autoPict="0">
                <anchor moveWithCells="1">
                  <from>
                    <xdr:col>3</xdr:col>
                    <xdr:colOff>180975</xdr:colOff>
                    <xdr:row>67</xdr:row>
                    <xdr:rowOff>9525</xdr:rowOff>
                  </from>
                  <to>
                    <xdr:col>3</xdr:col>
                    <xdr:colOff>495300</xdr:colOff>
                    <xdr:row>67</xdr:row>
                    <xdr:rowOff>190500</xdr:rowOff>
                  </to>
                </anchor>
              </controlPr>
            </control>
          </mc:Choice>
        </mc:AlternateContent>
        <mc:AlternateContent xmlns:mc="http://schemas.openxmlformats.org/markup-compatibility/2006">
          <mc:Choice Requires="x14">
            <control shapeId="16396" r:id="rId14" name="Option Button 12">
              <controlPr defaultSize="0" autoFill="0" autoLine="0" autoPict="0">
                <anchor moveWithCells="1">
                  <from>
                    <xdr:col>4</xdr:col>
                    <xdr:colOff>180975</xdr:colOff>
                    <xdr:row>67</xdr:row>
                    <xdr:rowOff>9525</xdr:rowOff>
                  </from>
                  <to>
                    <xdr:col>4</xdr:col>
                    <xdr:colOff>495300</xdr:colOff>
                    <xdr:row>67</xdr:row>
                    <xdr:rowOff>190500</xdr:rowOff>
                  </to>
                </anchor>
              </controlPr>
            </control>
          </mc:Choice>
        </mc:AlternateContent>
        <mc:AlternateContent xmlns:mc="http://schemas.openxmlformats.org/markup-compatibility/2006">
          <mc:Choice Requires="x14">
            <control shapeId="16397" r:id="rId15" name="Option Button 13">
              <controlPr defaultSize="0" autoFill="0" autoLine="0" autoPict="0">
                <anchor moveWithCells="1">
                  <from>
                    <xdr:col>5</xdr:col>
                    <xdr:colOff>180975</xdr:colOff>
                    <xdr:row>67</xdr:row>
                    <xdr:rowOff>9525</xdr:rowOff>
                  </from>
                  <to>
                    <xdr:col>5</xdr:col>
                    <xdr:colOff>495300</xdr:colOff>
                    <xdr:row>67</xdr:row>
                    <xdr:rowOff>190500</xdr:rowOff>
                  </to>
                </anchor>
              </controlPr>
            </control>
          </mc:Choice>
        </mc:AlternateContent>
        <mc:AlternateContent xmlns:mc="http://schemas.openxmlformats.org/markup-compatibility/2006">
          <mc:Choice Requires="x14">
            <control shapeId="16398" r:id="rId16" name="Option Button 14">
              <controlPr defaultSize="0" autoFill="0" autoLine="0" autoPict="0">
                <anchor moveWithCells="1">
                  <from>
                    <xdr:col>6</xdr:col>
                    <xdr:colOff>180975</xdr:colOff>
                    <xdr:row>67</xdr:row>
                    <xdr:rowOff>9525</xdr:rowOff>
                  </from>
                  <to>
                    <xdr:col>6</xdr:col>
                    <xdr:colOff>495300</xdr:colOff>
                    <xdr:row>67</xdr:row>
                    <xdr:rowOff>190500</xdr:rowOff>
                  </to>
                </anchor>
              </controlPr>
            </control>
          </mc:Choice>
        </mc:AlternateContent>
        <mc:AlternateContent xmlns:mc="http://schemas.openxmlformats.org/markup-compatibility/2006">
          <mc:Choice Requires="x14">
            <control shapeId="16399" r:id="rId17" name="Option Button 15">
              <controlPr defaultSize="0" autoFill="0" autoLine="0" autoPict="0">
                <anchor moveWithCells="1">
                  <from>
                    <xdr:col>7</xdr:col>
                    <xdr:colOff>180975</xdr:colOff>
                    <xdr:row>67</xdr:row>
                    <xdr:rowOff>9525</xdr:rowOff>
                  </from>
                  <to>
                    <xdr:col>7</xdr:col>
                    <xdr:colOff>495300</xdr:colOff>
                    <xdr:row>67</xdr:row>
                    <xdr:rowOff>190500</xdr:rowOff>
                  </to>
                </anchor>
              </controlPr>
            </control>
          </mc:Choice>
        </mc:AlternateContent>
        <mc:AlternateContent xmlns:mc="http://schemas.openxmlformats.org/markup-compatibility/2006">
          <mc:Choice Requires="x14">
            <control shapeId="16400" r:id="rId18" name="Group Box 16">
              <controlPr defaultSize="0" autoFill="0" autoPict="0">
                <anchor moveWithCells="1">
                  <from>
                    <xdr:col>11</xdr:col>
                    <xdr:colOff>0</xdr:colOff>
                    <xdr:row>65</xdr:row>
                    <xdr:rowOff>190500</xdr:rowOff>
                  </from>
                  <to>
                    <xdr:col>17</xdr:col>
                    <xdr:colOff>0</xdr:colOff>
                    <xdr:row>66</xdr:row>
                    <xdr:rowOff>190500</xdr:rowOff>
                  </to>
                </anchor>
              </controlPr>
            </control>
          </mc:Choice>
        </mc:AlternateContent>
        <mc:AlternateContent xmlns:mc="http://schemas.openxmlformats.org/markup-compatibility/2006">
          <mc:Choice Requires="x14">
            <control shapeId="16401" r:id="rId19" name="Option Button 17">
              <controlPr defaultSize="0" autoFill="0" autoLine="0" autoPict="0">
                <anchor moveWithCells="1">
                  <from>
                    <xdr:col>11</xdr:col>
                    <xdr:colOff>180975</xdr:colOff>
                    <xdr:row>66</xdr:row>
                    <xdr:rowOff>9525</xdr:rowOff>
                  </from>
                  <to>
                    <xdr:col>11</xdr:col>
                    <xdr:colOff>495300</xdr:colOff>
                    <xdr:row>66</xdr:row>
                    <xdr:rowOff>190500</xdr:rowOff>
                  </to>
                </anchor>
              </controlPr>
            </control>
          </mc:Choice>
        </mc:AlternateContent>
        <mc:AlternateContent xmlns:mc="http://schemas.openxmlformats.org/markup-compatibility/2006">
          <mc:Choice Requires="x14">
            <control shapeId="16402" r:id="rId20" name="Option Button 18">
              <controlPr defaultSize="0" autoFill="0" autoLine="0" autoPict="0">
                <anchor moveWithCells="1">
                  <from>
                    <xdr:col>12</xdr:col>
                    <xdr:colOff>180975</xdr:colOff>
                    <xdr:row>66</xdr:row>
                    <xdr:rowOff>9525</xdr:rowOff>
                  </from>
                  <to>
                    <xdr:col>12</xdr:col>
                    <xdr:colOff>495300</xdr:colOff>
                    <xdr:row>66</xdr:row>
                    <xdr:rowOff>190500</xdr:rowOff>
                  </to>
                </anchor>
              </controlPr>
            </control>
          </mc:Choice>
        </mc:AlternateContent>
        <mc:AlternateContent xmlns:mc="http://schemas.openxmlformats.org/markup-compatibility/2006">
          <mc:Choice Requires="x14">
            <control shapeId="16403" r:id="rId21" name="Option Button 19">
              <controlPr defaultSize="0" autoFill="0" autoLine="0" autoPict="0">
                <anchor moveWithCells="1">
                  <from>
                    <xdr:col>13</xdr:col>
                    <xdr:colOff>180975</xdr:colOff>
                    <xdr:row>66</xdr:row>
                    <xdr:rowOff>9525</xdr:rowOff>
                  </from>
                  <to>
                    <xdr:col>13</xdr:col>
                    <xdr:colOff>495300</xdr:colOff>
                    <xdr:row>66</xdr:row>
                    <xdr:rowOff>190500</xdr:rowOff>
                  </to>
                </anchor>
              </controlPr>
            </control>
          </mc:Choice>
        </mc:AlternateContent>
        <mc:AlternateContent xmlns:mc="http://schemas.openxmlformats.org/markup-compatibility/2006">
          <mc:Choice Requires="x14">
            <control shapeId="16404" r:id="rId22" name="Option Button 20">
              <controlPr defaultSize="0" autoFill="0" autoLine="0" autoPict="0">
                <anchor moveWithCells="1">
                  <from>
                    <xdr:col>14</xdr:col>
                    <xdr:colOff>180975</xdr:colOff>
                    <xdr:row>66</xdr:row>
                    <xdr:rowOff>9525</xdr:rowOff>
                  </from>
                  <to>
                    <xdr:col>14</xdr:col>
                    <xdr:colOff>495300</xdr:colOff>
                    <xdr:row>66</xdr:row>
                    <xdr:rowOff>190500</xdr:rowOff>
                  </to>
                </anchor>
              </controlPr>
            </control>
          </mc:Choice>
        </mc:AlternateContent>
        <mc:AlternateContent xmlns:mc="http://schemas.openxmlformats.org/markup-compatibility/2006">
          <mc:Choice Requires="x14">
            <control shapeId="16405" r:id="rId23" name="Option Button 21">
              <controlPr defaultSize="0" autoFill="0" autoLine="0" autoPict="0">
                <anchor moveWithCells="1">
                  <from>
                    <xdr:col>15</xdr:col>
                    <xdr:colOff>180975</xdr:colOff>
                    <xdr:row>66</xdr:row>
                    <xdr:rowOff>9525</xdr:rowOff>
                  </from>
                  <to>
                    <xdr:col>15</xdr:col>
                    <xdr:colOff>495300</xdr:colOff>
                    <xdr:row>66</xdr:row>
                    <xdr:rowOff>190500</xdr:rowOff>
                  </to>
                </anchor>
              </controlPr>
            </control>
          </mc:Choice>
        </mc:AlternateContent>
        <mc:AlternateContent xmlns:mc="http://schemas.openxmlformats.org/markup-compatibility/2006">
          <mc:Choice Requires="x14">
            <control shapeId="16406" r:id="rId24" name="Option Button 22">
              <controlPr defaultSize="0" autoFill="0" autoLine="0" autoPict="0">
                <anchor moveWithCells="1">
                  <from>
                    <xdr:col>16</xdr:col>
                    <xdr:colOff>180975</xdr:colOff>
                    <xdr:row>66</xdr:row>
                    <xdr:rowOff>9525</xdr:rowOff>
                  </from>
                  <to>
                    <xdr:col>16</xdr:col>
                    <xdr:colOff>495300</xdr:colOff>
                    <xdr:row>66</xdr:row>
                    <xdr:rowOff>190500</xdr:rowOff>
                  </to>
                </anchor>
              </controlPr>
            </control>
          </mc:Choice>
        </mc:AlternateContent>
        <mc:AlternateContent xmlns:mc="http://schemas.openxmlformats.org/markup-compatibility/2006">
          <mc:Choice Requires="x14">
            <control shapeId="16407" r:id="rId25" name="Group Box 23">
              <controlPr defaultSize="0" autoFill="0" autoPict="0">
                <anchor moveWithCells="1">
                  <from>
                    <xdr:col>11</xdr:col>
                    <xdr:colOff>0</xdr:colOff>
                    <xdr:row>66</xdr:row>
                    <xdr:rowOff>190500</xdr:rowOff>
                  </from>
                  <to>
                    <xdr:col>17</xdr:col>
                    <xdr:colOff>0</xdr:colOff>
                    <xdr:row>67</xdr:row>
                    <xdr:rowOff>190500</xdr:rowOff>
                  </to>
                </anchor>
              </controlPr>
            </control>
          </mc:Choice>
        </mc:AlternateContent>
        <mc:AlternateContent xmlns:mc="http://schemas.openxmlformats.org/markup-compatibility/2006">
          <mc:Choice Requires="x14">
            <control shapeId="16408" r:id="rId26" name="Option Button 24">
              <controlPr defaultSize="0" autoFill="0" autoLine="0" autoPict="0">
                <anchor moveWithCells="1">
                  <from>
                    <xdr:col>11</xdr:col>
                    <xdr:colOff>180975</xdr:colOff>
                    <xdr:row>67</xdr:row>
                    <xdr:rowOff>9525</xdr:rowOff>
                  </from>
                  <to>
                    <xdr:col>11</xdr:col>
                    <xdr:colOff>495300</xdr:colOff>
                    <xdr:row>67</xdr:row>
                    <xdr:rowOff>190500</xdr:rowOff>
                  </to>
                </anchor>
              </controlPr>
            </control>
          </mc:Choice>
        </mc:AlternateContent>
        <mc:AlternateContent xmlns:mc="http://schemas.openxmlformats.org/markup-compatibility/2006">
          <mc:Choice Requires="x14">
            <control shapeId="16409" r:id="rId27" name="Option Button 25">
              <controlPr defaultSize="0" autoFill="0" autoLine="0" autoPict="0">
                <anchor moveWithCells="1">
                  <from>
                    <xdr:col>12</xdr:col>
                    <xdr:colOff>180975</xdr:colOff>
                    <xdr:row>67</xdr:row>
                    <xdr:rowOff>9525</xdr:rowOff>
                  </from>
                  <to>
                    <xdr:col>12</xdr:col>
                    <xdr:colOff>495300</xdr:colOff>
                    <xdr:row>67</xdr:row>
                    <xdr:rowOff>190500</xdr:rowOff>
                  </to>
                </anchor>
              </controlPr>
            </control>
          </mc:Choice>
        </mc:AlternateContent>
        <mc:AlternateContent xmlns:mc="http://schemas.openxmlformats.org/markup-compatibility/2006">
          <mc:Choice Requires="x14">
            <control shapeId="16410" r:id="rId28" name="Option Button 26">
              <controlPr defaultSize="0" autoFill="0" autoLine="0" autoPict="0">
                <anchor moveWithCells="1">
                  <from>
                    <xdr:col>13</xdr:col>
                    <xdr:colOff>180975</xdr:colOff>
                    <xdr:row>67</xdr:row>
                    <xdr:rowOff>9525</xdr:rowOff>
                  </from>
                  <to>
                    <xdr:col>13</xdr:col>
                    <xdr:colOff>495300</xdr:colOff>
                    <xdr:row>67</xdr:row>
                    <xdr:rowOff>190500</xdr:rowOff>
                  </to>
                </anchor>
              </controlPr>
            </control>
          </mc:Choice>
        </mc:AlternateContent>
        <mc:AlternateContent xmlns:mc="http://schemas.openxmlformats.org/markup-compatibility/2006">
          <mc:Choice Requires="x14">
            <control shapeId="16411" r:id="rId29" name="Option Button 27">
              <controlPr defaultSize="0" autoFill="0" autoLine="0" autoPict="0">
                <anchor moveWithCells="1">
                  <from>
                    <xdr:col>14</xdr:col>
                    <xdr:colOff>180975</xdr:colOff>
                    <xdr:row>67</xdr:row>
                    <xdr:rowOff>9525</xdr:rowOff>
                  </from>
                  <to>
                    <xdr:col>14</xdr:col>
                    <xdr:colOff>495300</xdr:colOff>
                    <xdr:row>67</xdr:row>
                    <xdr:rowOff>190500</xdr:rowOff>
                  </to>
                </anchor>
              </controlPr>
            </control>
          </mc:Choice>
        </mc:AlternateContent>
        <mc:AlternateContent xmlns:mc="http://schemas.openxmlformats.org/markup-compatibility/2006">
          <mc:Choice Requires="x14">
            <control shapeId="16412" r:id="rId30" name="Option Button 28">
              <controlPr defaultSize="0" autoFill="0" autoLine="0" autoPict="0">
                <anchor moveWithCells="1">
                  <from>
                    <xdr:col>15</xdr:col>
                    <xdr:colOff>180975</xdr:colOff>
                    <xdr:row>67</xdr:row>
                    <xdr:rowOff>9525</xdr:rowOff>
                  </from>
                  <to>
                    <xdr:col>15</xdr:col>
                    <xdr:colOff>495300</xdr:colOff>
                    <xdr:row>67</xdr:row>
                    <xdr:rowOff>190500</xdr:rowOff>
                  </to>
                </anchor>
              </controlPr>
            </control>
          </mc:Choice>
        </mc:AlternateContent>
        <mc:AlternateContent xmlns:mc="http://schemas.openxmlformats.org/markup-compatibility/2006">
          <mc:Choice Requires="x14">
            <control shapeId="16413" r:id="rId31" name="Option Button 29">
              <controlPr defaultSize="0" autoFill="0" autoLine="0" autoPict="0">
                <anchor moveWithCells="1">
                  <from>
                    <xdr:col>16</xdr:col>
                    <xdr:colOff>180975</xdr:colOff>
                    <xdr:row>67</xdr:row>
                    <xdr:rowOff>9525</xdr:rowOff>
                  </from>
                  <to>
                    <xdr:col>16</xdr:col>
                    <xdr:colOff>495300</xdr:colOff>
                    <xdr:row>67</xdr:row>
                    <xdr:rowOff>190500</xdr:rowOff>
                  </to>
                </anchor>
              </controlPr>
            </control>
          </mc:Choice>
        </mc:AlternateContent>
        <mc:AlternateContent xmlns:mc="http://schemas.openxmlformats.org/markup-compatibility/2006">
          <mc:Choice Requires="x14">
            <control shapeId="16414" r:id="rId32" name="Group Box 30">
              <controlPr defaultSize="0" autoFill="0" autoPict="0">
                <anchor moveWithCells="1">
                  <from>
                    <xdr:col>2</xdr:col>
                    <xdr:colOff>0</xdr:colOff>
                    <xdr:row>86</xdr:row>
                    <xdr:rowOff>190500</xdr:rowOff>
                  </from>
                  <to>
                    <xdr:col>8</xdr:col>
                    <xdr:colOff>0</xdr:colOff>
                    <xdr:row>88</xdr:row>
                    <xdr:rowOff>9525</xdr:rowOff>
                  </to>
                </anchor>
              </controlPr>
            </control>
          </mc:Choice>
        </mc:AlternateContent>
        <mc:AlternateContent xmlns:mc="http://schemas.openxmlformats.org/markup-compatibility/2006">
          <mc:Choice Requires="x14">
            <control shapeId="16415" r:id="rId33" name="Option Button 31">
              <controlPr defaultSize="0" autoFill="0" autoLine="0" autoPict="0">
                <anchor moveWithCells="1">
                  <from>
                    <xdr:col>2</xdr:col>
                    <xdr:colOff>180975</xdr:colOff>
                    <xdr:row>87</xdr:row>
                    <xdr:rowOff>9525</xdr:rowOff>
                  </from>
                  <to>
                    <xdr:col>2</xdr:col>
                    <xdr:colOff>495300</xdr:colOff>
                    <xdr:row>88</xdr:row>
                    <xdr:rowOff>0</xdr:rowOff>
                  </to>
                </anchor>
              </controlPr>
            </control>
          </mc:Choice>
        </mc:AlternateContent>
        <mc:AlternateContent xmlns:mc="http://schemas.openxmlformats.org/markup-compatibility/2006">
          <mc:Choice Requires="x14">
            <control shapeId="16416" r:id="rId34" name="Option Button 32">
              <controlPr defaultSize="0" autoFill="0" autoLine="0" autoPict="0">
                <anchor moveWithCells="1">
                  <from>
                    <xdr:col>3</xdr:col>
                    <xdr:colOff>180975</xdr:colOff>
                    <xdr:row>87</xdr:row>
                    <xdr:rowOff>9525</xdr:rowOff>
                  </from>
                  <to>
                    <xdr:col>3</xdr:col>
                    <xdr:colOff>495300</xdr:colOff>
                    <xdr:row>88</xdr:row>
                    <xdr:rowOff>0</xdr:rowOff>
                  </to>
                </anchor>
              </controlPr>
            </control>
          </mc:Choice>
        </mc:AlternateContent>
        <mc:AlternateContent xmlns:mc="http://schemas.openxmlformats.org/markup-compatibility/2006">
          <mc:Choice Requires="x14">
            <control shapeId="16417" r:id="rId35" name="Option Button 33">
              <controlPr defaultSize="0" autoFill="0" autoLine="0" autoPict="0">
                <anchor moveWithCells="1">
                  <from>
                    <xdr:col>4</xdr:col>
                    <xdr:colOff>180975</xdr:colOff>
                    <xdr:row>87</xdr:row>
                    <xdr:rowOff>9525</xdr:rowOff>
                  </from>
                  <to>
                    <xdr:col>4</xdr:col>
                    <xdr:colOff>495300</xdr:colOff>
                    <xdr:row>88</xdr:row>
                    <xdr:rowOff>0</xdr:rowOff>
                  </to>
                </anchor>
              </controlPr>
            </control>
          </mc:Choice>
        </mc:AlternateContent>
        <mc:AlternateContent xmlns:mc="http://schemas.openxmlformats.org/markup-compatibility/2006">
          <mc:Choice Requires="x14">
            <control shapeId="16418" r:id="rId36" name="Option Button 34">
              <controlPr defaultSize="0" autoFill="0" autoLine="0" autoPict="0">
                <anchor moveWithCells="1">
                  <from>
                    <xdr:col>5</xdr:col>
                    <xdr:colOff>180975</xdr:colOff>
                    <xdr:row>87</xdr:row>
                    <xdr:rowOff>9525</xdr:rowOff>
                  </from>
                  <to>
                    <xdr:col>5</xdr:col>
                    <xdr:colOff>495300</xdr:colOff>
                    <xdr:row>88</xdr:row>
                    <xdr:rowOff>0</xdr:rowOff>
                  </to>
                </anchor>
              </controlPr>
            </control>
          </mc:Choice>
        </mc:AlternateContent>
        <mc:AlternateContent xmlns:mc="http://schemas.openxmlformats.org/markup-compatibility/2006">
          <mc:Choice Requires="x14">
            <control shapeId="16419" r:id="rId37" name="Option Button 35">
              <controlPr defaultSize="0" autoFill="0" autoLine="0" autoPict="0">
                <anchor moveWithCells="1">
                  <from>
                    <xdr:col>6</xdr:col>
                    <xdr:colOff>180975</xdr:colOff>
                    <xdr:row>87</xdr:row>
                    <xdr:rowOff>9525</xdr:rowOff>
                  </from>
                  <to>
                    <xdr:col>6</xdr:col>
                    <xdr:colOff>495300</xdr:colOff>
                    <xdr:row>88</xdr:row>
                    <xdr:rowOff>0</xdr:rowOff>
                  </to>
                </anchor>
              </controlPr>
            </control>
          </mc:Choice>
        </mc:AlternateContent>
        <mc:AlternateContent xmlns:mc="http://schemas.openxmlformats.org/markup-compatibility/2006">
          <mc:Choice Requires="x14">
            <control shapeId="16420" r:id="rId38" name="Option Button 36">
              <controlPr defaultSize="0" autoFill="0" autoLine="0" autoPict="0">
                <anchor moveWithCells="1">
                  <from>
                    <xdr:col>7</xdr:col>
                    <xdr:colOff>180975</xdr:colOff>
                    <xdr:row>87</xdr:row>
                    <xdr:rowOff>9525</xdr:rowOff>
                  </from>
                  <to>
                    <xdr:col>7</xdr:col>
                    <xdr:colOff>495300</xdr:colOff>
                    <xdr:row>88</xdr:row>
                    <xdr:rowOff>0</xdr:rowOff>
                  </to>
                </anchor>
              </controlPr>
            </control>
          </mc:Choice>
        </mc:AlternateContent>
        <mc:AlternateContent xmlns:mc="http://schemas.openxmlformats.org/markup-compatibility/2006">
          <mc:Choice Requires="x14">
            <control shapeId="16421" r:id="rId39" name="Group Box 37">
              <controlPr defaultSize="0" autoFill="0" autoPict="0">
                <anchor moveWithCells="1">
                  <from>
                    <xdr:col>2</xdr:col>
                    <xdr:colOff>0</xdr:colOff>
                    <xdr:row>87</xdr:row>
                    <xdr:rowOff>190500</xdr:rowOff>
                  </from>
                  <to>
                    <xdr:col>8</xdr:col>
                    <xdr:colOff>0</xdr:colOff>
                    <xdr:row>89</xdr:row>
                    <xdr:rowOff>9525</xdr:rowOff>
                  </to>
                </anchor>
              </controlPr>
            </control>
          </mc:Choice>
        </mc:AlternateContent>
        <mc:AlternateContent xmlns:mc="http://schemas.openxmlformats.org/markup-compatibility/2006">
          <mc:Choice Requires="x14">
            <control shapeId="16422" r:id="rId40" name="Option Button 38">
              <controlPr defaultSize="0" autoFill="0" autoLine="0" autoPict="0">
                <anchor moveWithCells="1">
                  <from>
                    <xdr:col>2</xdr:col>
                    <xdr:colOff>180975</xdr:colOff>
                    <xdr:row>88</xdr:row>
                    <xdr:rowOff>9525</xdr:rowOff>
                  </from>
                  <to>
                    <xdr:col>2</xdr:col>
                    <xdr:colOff>495300</xdr:colOff>
                    <xdr:row>89</xdr:row>
                    <xdr:rowOff>0</xdr:rowOff>
                  </to>
                </anchor>
              </controlPr>
            </control>
          </mc:Choice>
        </mc:AlternateContent>
        <mc:AlternateContent xmlns:mc="http://schemas.openxmlformats.org/markup-compatibility/2006">
          <mc:Choice Requires="x14">
            <control shapeId="16423" r:id="rId41" name="Option Button 39">
              <controlPr defaultSize="0" autoFill="0" autoLine="0" autoPict="0">
                <anchor moveWithCells="1">
                  <from>
                    <xdr:col>3</xdr:col>
                    <xdr:colOff>180975</xdr:colOff>
                    <xdr:row>88</xdr:row>
                    <xdr:rowOff>9525</xdr:rowOff>
                  </from>
                  <to>
                    <xdr:col>3</xdr:col>
                    <xdr:colOff>495300</xdr:colOff>
                    <xdr:row>89</xdr:row>
                    <xdr:rowOff>0</xdr:rowOff>
                  </to>
                </anchor>
              </controlPr>
            </control>
          </mc:Choice>
        </mc:AlternateContent>
        <mc:AlternateContent xmlns:mc="http://schemas.openxmlformats.org/markup-compatibility/2006">
          <mc:Choice Requires="x14">
            <control shapeId="16424" r:id="rId42" name="Option Button 40">
              <controlPr defaultSize="0" autoFill="0" autoLine="0" autoPict="0">
                <anchor moveWithCells="1">
                  <from>
                    <xdr:col>4</xdr:col>
                    <xdr:colOff>180975</xdr:colOff>
                    <xdr:row>88</xdr:row>
                    <xdr:rowOff>9525</xdr:rowOff>
                  </from>
                  <to>
                    <xdr:col>4</xdr:col>
                    <xdr:colOff>495300</xdr:colOff>
                    <xdr:row>89</xdr:row>
                    <xdr:rowOff>0</xdr:rowOff>
                  </to>
                </anchor>
              </controlPr>
            </control>
          </mc:Choice>
        </mc:AlternateContent>
        <mc:AlternateContent xmlns:mc="http://schemas.openxmlformats.org/markup-compatibility/2006">
          <mc:Choice Requires="x14">
            <control shapeId="16425" r:id="rId43" name="Option Button 41">
              <controlPr defaultSize="0" autoFill="0" autoLine="0" autoPict="0">
                <anchor moveWithCells="1">
                  <from>
                    <xdr:col>5</xdr:col>
                    <xdr:colOff>180975</xdr:colOff>
                    <xdr:row>88</xdr:row>
                    <xdr:rowOff>9525</xdr:rowOff>
                  </from>
                  <to>
                    <xdr:col>5</xdr:col>
                    <xdr:colOff>495300</xdr:colOff>
                    <xdr:row>89</xdr:row>
                    <xdr:rowOff>0</xdr:rowOff>
                  </to>
                </anchor>
              </controlPr>
            </control>
          </mc:Choice>
        </mc:AlternateContent>
        <mc:AlternateContent xmlns:mc="http://schemas.openxmlformats.org/markup-compatibility/2006">
          <mc:Choice Requires="x14">
            <control shapeId="16426" r:id="rId44" name="Option Button 42">
              <controlPr defaultSize="0" autoFill="0" autoLine="0" autoPict="0">
                <anchor moveWithCells="1">
                  <from>
                    <xdr:col>6</xdr:col>
                    <xdr:colOff>180975</xdr:colOff>
                    <xdr:row>88</xdr:row>
                    <xdr:rowOff>9525</xdr:rowOff>
                  </from>
                  <to>
                    <xdr:col>6</xdr:col>
                    <xdr:colOff>495300</xdr:colOff>
                    <xdr:row>89</xdr:row>
                    <xdr:rowOff>0</xdr:rowOff>
                  </to>
                </anchor>
              </controlPr>
            </control>
          </mc:Choice>
        </mc:AlternateContent>
        <mc:AlternateContent xmlns:mc="http://schemas.openxmlformats.org/markup-compatibility/2006">
          <mc:Choice Requires="x14">
            <control shapeId="16427" r:id="rId45" name="Option Button 43">
              <controlPr defaultSize="0" autoFill="0" autoLine="0" autoPict="0">
                <anchor moveWithCells="1">
                  <from>
                    <xdr:col>7</xdr:col>
                    <xdr:colOff>180975</xdr:colOff>
                    <xdr:row>88</xdr:row>
                    <xdr:rowOff>9525</xdr:rowOff>
                  </from>
                  <to>
                    <xdr:col>7</xdr:col>
                    <xdr:colOff>495300</xdr:colOff>
                    <xdr:row>89</xdr:row>
                    <xdr:rowOff>0</xdr:rowOff>
                  </to>
                </anchor>
              </controlPr>
            </control>
          </mc:Choice>
        </mc:AlternateContent>
        <mc:AlternateContent xmlns:mc="http://schemas.openxmlformats.org/markup-compatibility/2006">
          <mc:Choice Requires="x14">
            <control shapeId="16428" r:id="rId46" name="Group Box 44">
              <controlPr defaultSize="0" autoFill="0" autoPict="0">
                <anchor moveWithCells="1">
                  <from>
                    <xdr:col>11</xdr:col>
                    <xdr:colOff>0</xdr:colOff>
                    <xdr:row>86</xdr:row>
                    <xdr:rowOff>190500</xdr:rowOff>
                  </from>
                  <to>
                    <xdr:col>16</xdr:col>
                    <xdr:colOff>504825</xdr:colOff>
                    <xdr:row>88</xdr:row>
                    <xdr:rowOff>9525</xdr:rowOff>
                  </to>
                </anchor>
              </controlPr>
            </control>
          </mc:Choice>
        </mc:AlternateContent>
        <mc:AlternateContent xmlns:mc="http://schemas.openxmlformats.org/markup-compatibility/2006">
          <mc:Choice Requires="x14">
            <control shapeId="16429" r:id="rId47" name="Option Button 45">
              <controlPr defaultSize="0" autoFill="0" autoLine="0" autoPict="0">
                <anchor moveWithCells="1">
                  <from>
                    <xdr:col>11</xdr:col>
                    <xdr:colOff>180975</xdr:colOff>
                    <xdr:row>87</xdr:row>
                    <xdr:rowOff>9525</xdr:rowOff>
                  </from>
                  <to>
                    <xdr:col>11</xdr:col>
                    <xdr:colOff>495300</xdr:colOff>
                    <xdr:row>88</xdr:row>
                    <xdr:rowOff>0</xdr:rowOff>
                  </to>
                </anchor>
              </controlPr>
            </control>
          </mc:Choice>
        </mc:AlternateContent>
        <mc:AlternateContent xmlns:mc="http://schemas.openxmlformats.org/markup-compatibility/2006">
          <mc:Choice Requires="x14">
            <control shapeId="16430" r:id="rId48" name="Option Button 46">
              <controlPr defaultSize="0" autoFill="0" autoLine="0" autoPict="0">
                <anchor moveWithCells="1">
                  <from>
                    <xdr:col>12</xdr:col>
                    <xdr:colOff>180975</xdr:colOff>
                    <xdr:row>87</xdr:row>
                    <xdr:rowOff>9525</xdr:rowOff>
                  </from>
                  <to>
                    <xdr:col>12</xdr:col>
                    <xdr:colOff>495300</xdr:colOff>
                    <xdr:row>88</xdr:row>
                    <xdr:rowOff>0</xdr:rowOff>
                  </to>
                </anchor>
              </controlPr>
            </control>
          </mc:Choice>
        </mc:AlternateContent>
        <mc:AlternateContent xmlns:mc="http://schemas.openxmlformats.org/markup-compatibility/2006">
          <mc:Choice Requires="x14">
            <control shapeId="16431" r:id="rId49" name="Option Button 47">
              <controlPr defaultSize="0" autoFill="0" autoLine="0" autoPict="0">
                <anchor moveWithCells="1">
                  <from>
                    <xdr:col>13</xdr:col>
                    <xdr:colOff>180975</xdr:colOff>
                    <xdr:row>87</xdr:row>
                    <xdr:rowOff>9525</xdr:rowOff>
                  </from>
                  <to>
                    <xdr:col>13</xdr:col>
                    <xdr:colOff>495300</xdr:colOff>
                    <xdr:row>88</xdr:row>
                    <xdr:rowOff>0</xdr:rowOff>
                  </to>
                </anchor>
              </controlPr>
            </control>
          </mc:Choice>
        </mc:AlternateContent>
        <mc:AlternateContent xmlns:mc="http://schemas.openxmlformats.org/markup-compatibility/2006">
          <mc:Choice Requires="x14">
            <control shapeId="16432" r:id="rId50" name="Option Button 48">
              <controlPr defaultSize="0" autoFill="0" autoLine="0" autoPict="0">
                <anchor moveWithCells="1">
                  <from>
                    <xdr:col>14</xdr:col>
                    <xdr:colOff>180975</xdr:colOff>
                    <xdr:row>87</xdr:row>
                    <xdr:rowOff>9525</xdr:rowOff>
                  </from>
                  <to>
                    <xdr:col>14</xdr:col>
                    <xdr:colOff>495300</xdr:colOff>
                    <xdr:row>88</xdr:row>
                    <xdr:rowOff>0</xdr:rowOff>
                  </to>
                </anchor>
              </controlPr>
            </control>
          </mc:Choice>
        </mc:AlternateContent>
        <mc:AlternateContent xmlns:mc="http://schemas.openxmlformats.org/markup-compatibility/2006">
          <mc:Choice Requires="x14">
            <control shapeId="16433" r:id="rId51" name="Option Button 49">
              <controlPr defaultSize="0" autoFill="0" autoLine="0" autoPict="0">
                <anchor moveWithCells="1">
                  <from>
                    <xdr:col>15</xdr:col>
                    <xdr:colOff>180975</xdr:colOff>
                    <xdr:row>87</xdr:row>
                    <xdr:rowOff>9525</xdr:rowOff>
                  </from>
                  <to>
                    <xdr:col>15</xdr:col>
                    <xdr:colOff>495300</xdr:colOff>
                    <xdr:row>88</xdr:row>
                    <xdr:rowOff>0</xdr:rowOff>
                  </to>
                </anchor>
              </controlPr>
            </control>
          </mc:Choice>
        </mc:AlternateContent>
        <mc:AlternateContent xmlns:mc="http://schemas.openxmlformats.org/markup-compatibility/2006">
          <mc:Choice Requires="x14">
            <control shapeId="16434" r:id="rId52" name="Option Button 50">
              <controlPr defaultSize="0" autoFill="0" autoLine="0" autoPict="0">
                <anchor moveWithCells="1">
                  <from>
                    <xdr:col>16</xdr:col>
                    <xdr:colOff>180975</xdr:colOff>
                    <xdr:row>87</xdr:row>
                    <xdr:rowOff>9525</xdr:rowOff>
                  </from>
                  <to>
                    <xdr:col>16</xdr:col>
                    <xdr:colOff>495300</xdr:colOff>
                    <xdr:row>88</xdr:row>
                    <xdr:rowOff>0</xdr:rowOff>
                  </to>
                </anchor>
              </controlPr>
            </control>
          </mc:Choice>
        </mc:AlternateContent>
        <mc:AlternateContent xmlns:mc="http://schemas.openxmlformats.org/markup-compatibility/2006">
          <mc:Choice Requires="x14">
            <control shapeId="16435" r:id="rId53" name="Group Box 51">
              <controlPr defaultSize="0" autoFill="0" autoPict="0">
                <anchor moveWithCells="1">
                  <from>
                    <xdr:col>11</xdr:col>
                    <xdr:colOff>0</xdr:colOff>
                    <xdr:row>87</xdr:row>
                    <xdr:rowOff>190500</xdr:rowOff>
                  </from>
                  <to>
                    <xdr:col>16</xdr:col>
                    <xdr:colOff>504825</xdr:colOff>
                    <xdr:row>89</xdr:row>
                    <xdr:rowOff>9525</xdr:rowOff>
                  </to>
                </anchor>
              </controlPr>
            </control>
          </mc:Choice>
        </mc:AlternateContent>
        <mc:AlternateContent xmlns:mc="http://schemas.openxmlformats.org/markup-compatibility/2006">
          <mc:Choice Requires="x14">
            <control shapeId="16436" r:id="rId54" name="Option Button 52">
              <controlPr defaultSize="0" autoFill="0" autoLine="0" autoPict="0">
                <anchor moveWithCells="1">
                  <from>
                    <xdr:col>11</xdr:col>
                    <xdr:colOff>180975</xdr:colOff>
                    <xdr:row>88</xdr:row>
                    <xdr:rowOff>9525</xdr:rowOff>
                  </from>
                  <to>
                    <xdr:col>11</xdr:col>
                    <xdr:colOff>495300</xdr:colOff>
                    <xdr:row>89</xdr:row>
                    <xdr:rowOff>0</xdr:rowOff>
                  </to>
                </anchor>
              </controlPr>
            </control>
          </mc:Choice>
        </mc:AlternateContent>
        <mc:AlternateContent xmlns:mc="http://schemas.openxmlformats.org/markup-compatibility/2006">
          <mc:Choice Requires="x14">
            <control shapeId="16437" r:id="rId55" name="Option Button 53">
              <controlPr defaultSize="0" autoFill="0" autoLine="0" autoPict="0">
                <anchor moveWithCells="1">
                  <from>
                    <xdr:col>12</xdr:col>
                    <xdr:colOff>180975</xdr:colOff>
                    <xdr:row>88</xdr:row>
                    <xdr:rowOff>9525</xdr:rowOff>
                  </from>
                  <to>
                    <xdr:col>12</xdr:col>
                    <xdr:colOff>495300</xdr:colOff>
                    <xdr:row>89</xdr:row>
                    <xdr:rowOff>0</xdr:rowOff>
                  </to>
                </anchor>
              </controlPr>
            </control>
          </mc:Choice>
        </mc:AlternateContent>
        <mc:AlternateContent xmlns:mc="http://schemas.openxmlformats.org/markup-compatibility/2006">
          <mc:Choice Requires="x14">
            <control shapeId="16438" r:id="rId56" name="Option Button 54">
              <controlPr defaultSize="0" autoFill="0" autoLine="0" autoPict="0">
                <anchor moveWithCells="1">
                  <from>
                    <xdr:col>13</xdr:col>
                    <xdr:colOff>180975</xdr:colOff>
                    <xdr:row>88</xdr:row>
                    <xdr:rowOff>9525</xdr:rowOff>
                  </from>
                  <to>
                    <xdr:col>13</xdr:col>
                    <xdr:colOff>495300</xdr:colOff>
                    <xdr:row>89</xdr:row>
                    <xdr:rowOff>0</xdr:rowOff>
                  </to>
                </anchor>
              </controlPr>
            </control>
          </mc:Choice>
        </mc:AlternateContent>
        <mc:AlternateContent xmlns:mc="http://schemas.openxmlformats.org/markup-compatibility/2006">
          <mc:Choice Requires="x14">
            <control shapeId="16439" r:id="rId57" name="Option Button 55">
              <controlPr defaultSize="0" autoFill="0" autoLine="0" autoPict="0">
                <anchor moveWithCells="1">
                  <from>
                    <xdr:col>14</xdr:col>
                    <xdr:colOff>180975</xdr:colOff>
                    <xdr:row>88</xdr:row>
                    <xdr:rowOff>9525</xdr:rowOff>
                  </from>
                  <to>
                    <xdr:col>14</xdr:col>
                    <xdr:colOff>495300</xdr:colOff>
                    <xdr:row>89</xdr:row>
                    <xdr:rowOff>0</xdr:rowOff>
                  </to>
                </anchor>
              </controlPr>
            </control>
          </mc:Choice>
        </mc:AlternateContent>
        <mc:AlternateContent xmlns:mc="http://schemas.openxmlformats.org/markup-compatibility/2006">
          <mc:Choice Requires="x14">
            <control shapeId="16440" r:id="rId58" name="Option Button 56">
              <controlPr defaultSize="0" autoFill="0" autoLine="0" autoPict="0">
                <anchor moveWithCells="1">
                  <from>
                    <xdr:col>15</xdr:col>
                    <xdr:colOff>180975</xdr:colOff>
                    <xdr:row>88</xdr:row>
                    <xdr:rowOff>9525</xdr:rowOff>
                  </from>
                  <to>
                    <xdr:col>15</xdr:col>
                    <xdr:colOff>495300</xdr:colOff>
                    <xdr:row>89</xdr:row>
                    <xdr:rowOff>0</xdr:rowOff>
                  </to>
                </anchor>
              </controlPr>
            </control>
          </mc:Choice>
        </mc:AlternateContent>
        <mc:AlternateContent xmlns:mc="http://schemas.openxmlformats.org/markup-compatibility/2006">
          <mc:Choice Requires="x14">
            <control shapeId="16441" r:id="rId59" name="Option Button 57">
              <controlPr defaultSize="0" autoFill="0" autoLine="0" autoPict="0">
                <anchor moveWithCells="1">
                  <from>
                    <xdr:col>16</xdr:col>
                    <xdr:colOff>180975</xdr:colOff>
                    <xdr:row>88</xdr:row>
                    <xdr:rowOff>9525</xdr:rowOff>
                  </from>
                  <to>
                    <xdr:col>16</xdr:col>
                    <xdr:colOff>495300</xdr:colOff>
                    <xdr:row>89</xdr:row>
                    <xdr:rowOff>0</xdr:rowOff>
                  </to>
                </anchor>
              </controlPr>
            </control>
          </mc:Choice>
        </mc:AlternateContent>
        <mc:AlternateContent xmlns:mc="http://schemas.openxmlformats.org/markup-compatibility/2006">
          <mc:Choice Requires="x14">
            <control shapeId="16442" r:id="rId60" name="Group Box 58">
              <controlPr defaultSize="0" autoFill="0" autoPict="0">
                <anchor moveWithCells="1">
                  <from>
                    <xdr:col>2</xdr:col>
                    <xdr:colOff>0</xdr:colOff>
                    <xdr:row>86</xdr:row>
                    <xdr:rowOff>190500</xdr:rowOff>
                  </from>
                  <to>
                    <xdr:col>8</xdr:col>
                    <xdr:colOff>0</xdr:colOff>
                    <xdr:row>88</xdr:row>
                    <xdr:rowOff>9525</xdr:rowOff>
                  </to>
                </anchor>
              </controlPr>
            </control>
          </mc:Choice>
        </mc:AlternateContent>
        <mc:AlternateContent xmlns:mc="http://schemas.openxmlformats.org/markup-compatibility/2006">
          <mc:Choice Requires="x14">
            <control shapeId="16443" r:id="rId61" name="Option Button 59">
              <controlPr defaultSize="0" autoFill="0" autoLine="0" autoPict="0">
                <anchor moveWithCells="1">
                  <from>
                    <xdr:col>2</xdr:col>
                    <xdr:colOff>180975</xdr:colOff>
                    <xdr:row>87</xdr:row>
                    <xdr:rowOff>9525</xdr:rowOff>
                  </from>
                  <to>
                    <xdr:col>2</xdr:col>
                    <xdr:colOff>495300</xdr:colOff>
                    <xdr:row>88</xdr:row>
                    <xdr:rowOff>0</xdr:rowOff>
                  </to>
                </anchor>
              </controlPr>
            </control>
          </mc:Choice>
        </mc:AlternateContent>
        <mc:AlternateContent xmlns:mc="http://schemas.openxmlformats.org/markup-compatibility/2006">
          <mc:Choice Requires="x14">
            <control shapeId="16444" r:id="rId62" name="Option Button 60">
              <controlPr defaultSize="0" autoFill="0" autoLine="0" autoPict="0">
                <anchor moveWithCells="1">
                  <from>
                    <xdr:col>3</xdr:col>
                    <xdr:colOff>180975</xdr:colOff>
                    <xdr:row>87</xdr:row>
                    <xdr:rowOff>9525</xdr:rowOff>
                  </from>
                  <to>
                    <xdr:col>3</xdr:col>
                    <xdr:colOff>495300</xdr:colOff>
                    <xdr:row>88</xdr:row>
                    <xdr:rowOff>0</xdr:rowOff>
                  </to>
                </anchor>
              </controlPr>
            </control>
          </mc:Choice>
        </mc:AlternateContent>
        <mc:AlternateContent xmlns:mc="http://schemas.openxmlformats.org/markup-compatibility/2006">
          <mc:Choice Requires="x14">
            <control shapeId="16445" r:id="rId63" name="Option Button 61">
              <controlPr defaultSize="0" autoFill="0" autoLine="0" autoPict="0">
                <anchor moveWithCells="1">
                  <from>
                    <xdr:col>4</xdr:col>
                    <xdr:colOff>180975</xdr:colOff>
                    <xdr:row>87</xdr:row>
                    <xdr:rowOff>9525</xdr:rowOff>
                  </from>
                  <to>
                    <xdr:col>4</xdr:col>
                    <xdr:colOff>495300</xdr:colOff>
                    <xdr:row>88</xdr:row>
                    <xdr:rowOff>0</xdr:rowOff>
                  </to>
                </anchor>
              </controlPr>
            </control>
          </mc:Choice>
        </mc:AlternateContent>
        <mc:AlternateContent xmlns:mc="http://schemas.openxmlformats.org/markup-compatibility/2006">
          <mc:Choice Requires="x14">
            <control shapeId="16446" r:id="rId64" name="Option Button 62">
              <controlPr defaultSize="0" autoFill="0" autoLine="0" autoPict="0">
                <anchor moveWithCells="1">
                  <from>
                    <xdr:col>5</xdr:col>
                    <xdr:colOff>180975</xdr:colOff>
                    <xdr:row>87</xdr:row>
                    <xdr:rowOff>9525</xdr:rowOff>
                  </from>
                  <to>
                    <xdr:col>5</xdr:col>
                    <xdr:colOff>495300</xdr:colOff>
                    <xdr:row>88</xdr:row>
                    <xdr:rowOff>0</xdr:rowOff>
                  </to>
                </anchor>
              </controlPr>
            </control>
          </mc:Choice>
        </mc:AlternateContent>
        <mc:AlternateContent xmlns:mc="http://schemas.openxmlformats.org/markup-compatibility/2006">
          <mc:Choice Requires="x14">
            <control shapeId="16447" r:id="rId65" name="Option Button 63">
              <controlPr defaultSize="0" autoFill="0" autoLine="0" autoPict="0">
                <anchor moveWithCells="1">
                  <from>
                    <xdr:col>6</xdr:col>
                    <xdr:colOff>180975</xdr:colOff>
                    <xdr:row>87</xdr:row>
                    <xdr:rowOff>9525</xdr:rowOff>
                  </from>
                  <to>
                    <xdr:col>6</xdr:col>
                    <xdr:colOff>495300</xdr:colOff>
                    <xdr:row>88</xdr:row>
                    <xdr:rowOff>0</xdr:rowOff>
                  </to>
                </anchor>
              </controlPr>
            </control>
          </mc:Choice>
        </mc:AlternateContent>
        <mc:AlternateContent xmlns:mc="http://schemas.openxmlformats.org/markup-compatibility/2006">
          <mc:Choice Requires="x14">
            <control shapeId="16448" r:id="rId66" name="Option Button 64">
              <controlPr defaultSize="0" autoFill="0" autoLine="0" autoPict="0">
                <anchor moveWithCells="1">
                  <from>
                    <xdr:col>7</xdr:col>
                    <xdr:colOff>180975</xdr:colOff>
                    <xdr:row>87</xdr:row>
                    <xdr:rowOff>9525</xdr:rowOff>
                  </from>
                  <to>
                    <xdr:col>7</xdr:col>
                    <xdr:colOff>495300</xdr:colOff>
                    <xdr:row>88</xdr:row>
                    <xdr:rowOff>0</xdr:rowOff>
                  </to>
                </anchor>
              </controlPr>
            </control>
          </mc:Choice>
        </mc:AlternateContent>
        <mc:AlternateContent xmlns:mc="http://schemas.openxmlformats.org/markup-compatibility/2006">
          <mc:Choice Requires="x14">
            <control shapeId="16449" r:id="rId67" name="Group Box 65">
              <controlPr defaultSize="0" autoFill="0" autoPict="0">
                <anchor moveWithCells="1">
                  <from>
                    <xdr:col>2</xdr:col>
                    <xdr:colOff>0</xdr:colOff>
                    <xdr:row>87</xdr:row>
                    <xdr:rowOff>190500</xdr:rowOff>
                  </from>
                  <to>
                    <xdr:col>8</xdr:col>
                    <xdr:colOff>0</xdr:colOff>
                    <xdr:row>89</xdr:row>
                    <xdr:rowOff>9525</xdr:rowOff>
                  </to>
                </anchor>
              </controlPr>
            </control>
          </mc:Choice>
        </mc:AlternateContent>
        <mc:AlternateContent xmlns:mc="http://schemas.openxmlformats.org/markup-compatibility/2006">
          <mc:Choice Requires="x14">
            <control shapeId="16450" r:id="rId68" name="Option Button 66">
              <controlPr defaultSize="0" autoFill="0" autoLine="0" autoPict="0">
                <anchor moveWithCells="1">
                  <from>
                    <xdr:col>2</xdr:col>
                    <xdr:colOff>180975</xdr:colOff>
                    <xdr:row>88</xdr:row>
                    <xdr:rowOff>9525</xdr:rowOff>
                  </from>
                  <to>
                    <xdr:col>2</xdr:col>
                    <xdr:colOff>495300</xdr:colOff>
                    <xdr:row>89</xdr:row>
                    <xdr:rowOff>0</xdr:rowOff>
                  </to>
                </anchor>
              </controlPr>
            </control>
          </mc:Choice>
        </mc:AlternateContent>
        <mc:AlternateContent xmlns:mc="http://schemas.openxmlformats.org/markup-compatibility/2006">
          <mc:Choice Requires="x14">
            <control shapeId="16451" r:id="rId69" name="Option Button 67">
              <controlPr defaultSize="0" autoFill="0" autoLine="0" autoPict="0">
                <anchor moveWithCells="1">
                  <from>
                    <xdr:col>3</xdr:col>
                    <xdr:colOff>180975</xdr:colOff>
                    <xdr:row>88</xdr:row>
                    <xdr:rowOff>9525</xdr:rowOff>
                  </from>
                  <to>
                    <xdr:col>3</xdr:col>
                    <xdr:colOff>495300</xdr:colOff>
                    <xdr:row>89</xdr:row>
                    <xdr:rowOff>0</xdr:rowOff>
                  </to>
                </anchor>
              </controlPr>
            </control>
          </mc:Choice>
        </mc:AlternateContent>
        <mc:AlternateContent xmlns:mc="http://schemas.openxmlformats.org/markup-compatibility/2006">
          <mc:Choice Requires="x14">
            <control shapeId="16452" r:id="rId70" name="Option Button 68">
              <controlPr defaultSize="0" autoFill="0" autoLine="0" autoPict="0">
                <anchor moveWithCells="1">
                  <from>
                    <xdr:col>4</xdr:col>
                    <xdr:colOff>180975</xdr:colOff>
                    <xdr:row>88</xdr:row>
                    <xdr:rowOff>9525</xdr:rowOff>
                  </from>
                  <to>
                    <xdr:col>4</xdr:col>
                    <xdr:colOff>495300</xdr:colOff>
                    <xdr:row>89</xdr:row>
                    <xdr:rowOff>0</xdr:rowOff>
                  </to>
                </anchor>
              </controlPr>
            </control>
          </mc:Choice>
        </mc:AlternateContent>
        <mc:AlternateContent xmlns:mc="http://schemas.openxmlformats.org/markup-compatibility/2006">
          <mc:Choice Requires="x14">
            <control shapeId="16453" r:id="rId71" name="Option Button 69">
              <controlPr defaultSize="0" autoFill="0" autoLine="0" autoPict="0">
                <anchor moveWithCells="1">
                  <from>
                    <xdr:col>5</xdr:col>
                    <xdr:colOff>180975</xdr:colOff>
                    <xdr:row>88</xdr:row>
                    <xdr:rowOff>9525</xdr:rowOff>
                  </from>
                  <to>
                    <xdr:col>5</xdr:col>
                    <xdr:colOff>495300</xdr:colOff>
                    <xdr:row>89</xdr:row>
                    <xdr:rowOff>0</xdr:rowOff>
                  </to>
                </anchor>
              </controlPr>
            </control>
          </mc:Choice>
        </mc:AlternateContent>
        <mc:AlternateContent xmlns:mc="http://schemas.openxmlformats.org/markup-compatibility/2006">
          <mc:Choice Requires="x14">
            <control shapeId="16454" r:id="rId72" name="Option Button 70">
              <controlPr defaultSize="0" autoFill="0" autoLine="0" autoPict="0">
                <anchor moveWithCells="1">
                  <from>
                    <xdr:col>6</xdr:col>
                    <xdr:colOff>180975</xdr:colOff>
                    <xdr:row>88</xdr:row>
                    <xdr:rowOff>9525</xdr:rowOff>
                  </from>
                  <to>
                    <xdr:col>6</xdr:col>
                    <xdr:colOff>495300</xdr:colOff>
                    <xdr:row>89</xdr:row>
                    <xdr:rowOff>0</xdr:rowOff>
                  </to>
                </anchor>
              </controlPr>
            </control>
          </mc:Choice>
        </mc:AlternateContent>
        <mc:AlternateContent xmlns:mc="http://schemas.openxmlformats.org/markup-compatibility/2006">
          <mc:Choice Requires="x14">
            <control shapeId="16455" r:id="rId73" name="Option Button 71">
              <controlPr defaultSize="0" autoFill="0" autoLine="0" autoPict="0">
                <anchor moveWithCells="1">
                  <from>
                    <xdr:col>7</xdr:col>
                    <xdr:colOff>180975</xdr:colOff>
                    <xdr:row>88</xdr:row>
                    <xdr:rowOff>9525</xdr:rowOff>
                  </from>
                  <to>
                    <xdr:col>7</xdr:col>
                    <xdr:colOff>495300</xdr:colOff>
                    <xdr:row>89</xdr:row>
                    <xdr:rowOff>0</xdr:rowOff>
                  </to>
                </anchor>
              </controlPr>
            </control>
          </mc:Choice>
        </mc:AlternateContent>
        <mc:AlternateContent xmlns:mc="http://schemas.openxmlformats.org/markup-compatibility/2006">
          <mc:Choice Requires="x14">
            <control shapeId="16456" r:id="rId74" name="Group Box 72">
              <controlPr defaultSize="0" autoFill="0" autoPict="0">
                <anchor moveWithCells="1">
                  <from>
                    <xdr:col>11</xdr:col>
                    <xdr:colOff>0</xdr:colOff>
                    <xdr:row>86</xdr:row>
                    <xdr:rowOff>190500</xdr:rowOff>
                  </from>
                  <to>
                    <xdr:col>17</xdr:col>
                    <xdr:colOff>0</xdr:colOff>
                    <xdr:row>88</xdr:row>
                    <xdr:rowOff>9525</xdr:rowOff>
                  </to>
                </anchor>
              </controlPr>
            </control>
          </mc:Choice>
        </mc:AlternateContent>
        <mc:AlternateContent xmlns:mc="http://schemas.openxmlformats.org/markup-compatibility/2006">
          <mc:Choice Requires="x14">
            <control shapeId="16457" r:id="rId75" name="Option Button 73">
              <controlPr defaultSize="0" autoFill="0" autoLine="0" autoPict="0">
                <anchor moveWithCells="1">
                  <from>
                    <xdr:col>11</xdr:col>
                    <xdr:colOff>180975</xdr:colOff>
                    <xdr:row>87</xdr:row>
                    <xdr:rowOff>9525</xdr:rowOff>
                  </from>
                  <to>
                    <xdr:col>11</xdr:col>
                    <xdr:colOff>495300</xdr:colOff>
                    <xdr:row>88</xdr:row>
                    <xdr:rowOff>0</xdr:rowOff>
                  </to>
                </anchor>
              </controlPr>
            </control>
          </mc:Choice>
        </mc:AlternateContent>
        <mc:AlternateContent xmlns:mc="http://schemas.openxmlformats.org/markup-compatibility/2006">
          <mc:Choice Requires="x14">
            <control shapeId="16458" r:id="rId76" name="Option Button 74">
              <controlPr defaultSize="0" autoFill="0" autoLine="0" autoPict="0">
                <anchor moveWithCells="1">
                  <from>
                    <xdr:col>12</xdr:col>
                    <xdr:colOff>180975</xdr:colOff>
                    <xdr:row>87</xdr:row>
                    <xdr:rowOff>9525</xdr:rowOff>
                  </from>
                  <to>
                    <xdr:col>12</xdr:col>
                    <xdr:colOff>495300</xdr:colOff>
                    <xdr:row>88</xdr:row>
                    <xdr:rowOff>0</xdr:rowOff>
                  </to>
                </anchor>
              </controlPr>
            </control>
          </mc:Choice>
        </mc:AlternateContent>
        <mc:AlternateContent xmlns:mc="http://schemas.openxmlformats.org/markup-compatibility/2006">
          <mc:Choice Requires="x14">
            <control shapeId="16459" r:id="rId77" name="Option Button 75">
              <controlPr defaultSize="0" autoFill="0" autoLine="0" autoPict="0">
                <anchor moveWithCells="1">
                  <from>
                    <xdr:col>13</xdr:col>
                    <xdr:colOff>180975</xdr:colOff>
                    <xdr:row>87</xdr:row>
                    <xdr:rowOff>9525</xdr:rowOff>
                  </from>
                  <to>
                    <xdr:col>13</xdr:col>
                    <xdr:colOff>495300</xdr:colOff>
                    <xdr:row>88</xdr:row>
                    <xdr:rowOff>0</xdr:rowOff>
                  </to>
                </anchor>
              </controlPr>
            </control>
          </mc:Choice>
        </mc:AlternateContent>
        <mc:AlternateContent xmlns:mc="http://schemas.openxmlformats.org/markup-compatibility/2006">
          <mc:Choice Requires="x14">
            <control shapeId="16460" r:id="rId78" name="Option Button 76">
              <controlPr defaultSize="0" autoFill="0" autoLine="0" autoPict="0">
                <anchor moveWithCells="1">
                  <from>
                    <xdr:col>14</xdr:col>
                    <xdr:colOff>180975</xdr:colOff>
                    <xdr:row>87</xdr:row>
                    <xdr:rowOff>9525</xdr:rowOff>
                  </from>
                  <to>
                    <xdr:col>14</xdr:col>
                    <xdr:colOff>495300</xdr:colOff>
                    <xdr:row>88</xdr:row>
                    <xdr:rowOff>0</xdr:rowOff>
                  </to>
                </anchor>
              </controlPr>
            </control>
          </mc:Choice>
        </mc:AlternateContent>
        <mc:AlternateContent xmlns:mc="http://schemas.openxmlformats.org/markup-compatibility/2006">
          <mc:Choice Requires="x14">
            <control shapeId="16461" r:id="rId79" name="Option Button 77">
              <controlPr defaultSize="0" autoFill="0" autoLine="0" autoPict="0">
                <anchor moveWithCells="1">
                  <from>
                    <xdr:col>15</xdr:col>
                    <xdr:colOff>180975</xdr:colOff>
                    <xdr:row>87</xdr:row>
                    <xdr:rowOff>9525</xdr:rowOff>
                  </from>
                  <to>
                    <xdr:col>15</xdr:col>
                    <xdr:colOff>495300</xdr:colOff>
                    <xdr:row>88</xdr:row>
                    <xdr:rowOff>0</xdr:rowOff>
                  </to>
                </anchor>
              </controlPr>
            </control>
          </mc:Choice>
        </mc:AlternateContent>
        <mc:AlternateContent xmlns:mc="http://schemas.openxmlformats.org/markup-compatibility/2006">
          <mc:Choice Requires="x14">
            <control shapeId="16462" r:id="rId80" name="Option Button 78">
              <controlPr defaultSize="0" autoFill="0" autoLine="0" autoPict="0">
                <anchor moveWithCells="1">
                  <from>
                    <xdr:col>16</xdr:col>
                    <xdr:colOff>180975</xdr:colOff>
                    <xdr:row>87</xdr:row>
                    <xdr:rowOff>9525</xdr:rowOff>
                  </from>
                  <to>
                    <xdr:col>16</xdr:col>
                    <xdr:colOff>495300</xdr:colOff>
                    <xdr:row>88</xdr:row>
                    <xdr:rowOff>0</xdr:rowOff>
                  </to>
                </anchor>
              </controlPr>
            </control>
          </mc:Choice>
        </mc:AlternateContent>
        <mc:AlternateContent xmlns:mc="http://schemas.openxmlformats.org/markup-compatibility/2006">
          <mc:Choice Requires="x14">
            <control shapeId="16463" r:id="rId81" name="Group Box 79">
              <controlPr defaultSize="0" autoFill="0" autoPict="0">
                <anchor moveWithCells="1">
                  <from>
                    <xdr:col>11</xdr:col>
                    <xdr:colOff>0</xdr:colOff>
                    <xdr:row>87</xdr:row>
                    <xdr:rowOff>190500</xdr:rowOff>
                  </from>
                  <to>
                    <xdr:col>17</xdr:col>
                    <xdr:colOff>0</xdr:colOff>
                    <xdr:row>89</xdr:row>
                    <xdr:rowOff>9525</xdr:rowOff>
                  </to>
                </anchor>
              </controlPr>
            </control>
          </mc:Choice>
        </mc:AlternateContent>
        <mc:AlternateContent xmlns:mc="http://schemas.openxmlformats.org/markup-compatibility/2006">
          <mc:Choice Requires="x14">
            <control shapeId="16464" r:id="rId82" name="Option Button 80">
              <controlPr defaultSize="0" autoFill="0" autoLine="0" autoPict="0">
                <anchor moveWithCells="1">
                  <from>
                    <xdr:col>11</xdr:col>
                    <xdr:colOff>180975</xdr:colOff>
                    <xdr:row>88</xdr:row>
                    <xdr:rowOff>9525</xdr:rowOff>
                  </from>
                  <to>
                    <xdr:col>11</xdr:col>
                    <xdr:colOff>495300</xdr:colOff>
                    <xdr:row>89</xdr:row>
                    <xdr:rowOff>0</xdr:rowOff>
                  </to>
                </anchor>
              </controlPr>
            </control>
          </mc:Choice>
        </mc:AlternateContent>
        <mc:AlternateContent xmlns:mc="http://schemas.openxmlformats.org/markup-compatibility/2006">
          <mc:Choice Requires="x14">
            <control shapeId="16465" r:id="rId83" name="Option Button 81">
              <controlPr defaultSize="0" autoFill="0" autoLine="0" autoPict="0">
                <anchor moveWithCells="1">
                  <from>
                    <xdr:col>12</xdr:col>
                    <xdr:colOff>180975</xdr:colOff>
                    <xdr:row>88</xdr:row>
                    <xdr:rowOff>9525</xdr:rowOff>
                  </from>
                  <to>
                    <xdr:col>12</xdr:col>
                    <xdr:colOff>495300</xdr:colOff>
                    <xdr:row>89</xdr:row>
                    <xdr:rowOff>0</xdr:rowOff>
                  </to>
                </anchor>
              </controlPr>
            </control>
          </mc:Choice>
        </mc:AlternateContent>
        <mc:AlternateContent xmlns:mc="http://schemas.openxmlformats.org/markup-compatibility/2006">
          <mc:Choice Requires="x14">
            <control shapeId="16466" r:id="rId84" name="Option Button 82">
              <controlPr defaultSize="0" autoFill="0" autoLine="0" autoPict="0">
                <anchor moveWithCells="1">
                  <from>
                    <xdr:col>13</xdr:col>
                    <xdr:colOff>180975</xdr:colOff>
                    <xdr:row>88</xdr:row>
                    <xdr:rowOff>9525</xdr:rowOff>
                  </from>
                  <to>
                    <xdr:col>13</xdr:col>
                    <xdr:colOff>495300</xdr:colOff>
                    <xdr:row>89</xdr:row>
                    <xdr:rowOff>0</xdr:rowOff>
                  </to>
                </anchor>
              </controlPr>
            </control>
          </mc:Choice>
        </mc:AlternateContent>
        <mc:AlternateContent xmlns:mc="http://schemas.openxmlformats.org/markup-compatibility/2006">
          <mc:Choice Requires="x14">
            <control shapeId="16467" r:id="rId85" name="Option Button 83">
              <controlPr defaultSize="0" autoFill="0" autoLine="0" autoPict="0">
                <anchor moveWithCells="1">
                  <from>
                    <xdr:col>14</xdr:col>
                    <xdr:colOff>180975</xdr:colOff>
                    <xdr:row>88</xdr:row>
                    <xdr:rowOff>9525</xdr:rowOff>
                  </from>
                  <to>
                    <xdr:col>14</xdr:col>
                    <xdr:colOff>495300</xdr:colOff>
                    <xdr:row>89</xdr:row>
                    <xdr:rowOff>0</xdr:rowOff>
                  </to>
                </anchor>
              </controlPr>
            </control>
          </mc:Choice>
        </mc:AlternateContent>
        <mc:AlternateContent xmlns:mc="http://schemas.openxmlformats.org/markup-compatibility/2006">
          <mc:Choice Requires="x14">
            <control shapeId="16468" r:id="rId86" name="Option Button 84">
              <controlPr defaultSize="0" autoFill="0" autoLine="0" autoPict="0">
                <anchor moveWithCells="1">
                  <from>
                    <xdr:col>15</xdr:col>
                    <xdr:colOff>180975</xdr:colOff>
                    <xdr:row>88</xdr:row>
                    <xdr:rowOff>9525</xdr:rowOff>
                  </from>
                  <to>
                    <xdr:col>15</xdr:col>
                    <xdr:colOff>495300</xdr:colOff>
                    <xdr:row>89</xdr:row>
                    <xdr:rowOff>0</xdr:rowOff>
                  </to>
                </anchor>
              </controlPr>
            </control>
          </mc:Choice>
        </mc:AlternateContent>
        <mc:AlternateContent xmlns:mc="http://schemas.openxmlformats.org/markup-compatibility/2006">
          <mc:Choice Requires="x14">
            <control shapeId="16469" r:id="rId87" name="Option Button 85">
              <controlPr defaultSize="0" autoFill="0" autoLine="0" autoPict="0">
                <anchor moveWithCells="1">
                  <from>
                    <xdr:col>16</xdr:col>
                    <xdr:colOff>180975</xdr:colOff>
                    <xdr:row>88</xdr:row>
                    <xdr:rowOff>9525</xdr:rowOff>
                  </from>
                  <to>
                    <xdr:col>16</xdr:col>
                    <xdr:colOff>495300</xdr:colOff>
                    <xdr:row>89</xdr:row>
                    <xdr:rowOff>0</xdr:rowOff>
                  </to>
                </anchor>
              </controlPr>
            </control>
          </mc:Choice>
        </mc:AlternateContent>
        <mc:AlternateContent xmlns:mc="http://schemas.openxmlformats.org/markup-compatibility/2006">
          <mc:Choice Requires="x14">
            <control shapeId="16470" r:id="rId88" name="Group Box 86">
              <controlPr defaultSize="0" autoFill="0" autoPict="0">
                <anchor moveWithCells="1">
                  <from>
                    <xdr:col>11</xdr:col>
                    <xdr:colOff>0</xdr:colOff>
                    <xdr:row>86</xdr:row>
                    <xdr:rowOff>190500</xdr:rowOff>
                  </from>
                  <to>
                    <xdr:col>17</xdr:col>
                    <xdr:colOff>0</xdr:colOff>
                    <xdr:row>87</xdr:row>
                    <xdr:rowOff>190500</xdr:rowOff>
                  </to>
                </anchor>
              </controlPr>
            </control>
          </mc:Choice>
        </mc:AlternateContent>
        <mc:AlternateContent xmlns:mc="http://schemas.openxmlformats.org/markup-compatibility/2006">
          <mc:Choice Requires="x14">
            <control shapeId="16471" r:id="rId89" name="Option Button 87">
              <controlPr defaultSize="0" autoFill="0" autoLine="0" autoPict="0">
                <anchor moveWithCells="1">
                  <from>
                    <xdr:col>11</xdr:col>
                    <xdr:colOff>180975</xdr:colOff>
                    <xdr:row>87</xdr:row>
                    <xdr:rowOff>9525</xdr:rowOff>
                  </from>
                  <to>
                    <xdr:col>11</xdr:col>
                    <xdr:colOff>495300</xdr:colOff>
                    <xdr:row>88</xdr:row>
                    <xdr:rowOff>0</xdr:rowOff>
                  </to>
                </anchor>
              </controlPr>
            </control>
          </mc:Choice>
        </mc:AlternateContent>
        <mc:AlternateContent xmlns:mc="http://schemas.openxmlformats.org/markup-compatibility/2006">
          <mc:Choice Requires="x14">
            <control shapeId="16472" r:id="rId90" name="Option Button 88">
              <controlPr defaultSize="0" autoFill="0" autoLine="0" autoPict="0">
                <anchor moveWithCells="1">
                  <from>
                    <xdr:col>12</xdr:col>
                    <xdr:colOff>180975</xdr:colOff>
                    <xdr:row>87</xdr:row>
                    <xdr:rowOff>9525</xdr:rowOff>
                  </from>
                  <to>
                    <xdr:col>12</xdr:col>
                    <xdr:colOff>495300</xdr:colOff>
                    <xdr:row>88</xdr:row>
                    <xdr:rowOff>0</xdr:rowOff>
                  </to>
                </anchor>
              </controlPr>
            </control>
          </mc:Choice>
        </mc:AlternateContent>
        <mc:AlternateContent xmlns:mc="http://schemas.openxmlformats.org/markup-compatibility/2006">
          <mc:Choice Requires="x14">
            <control shapeId="16473" r:id="rId91" name="Option Button 89">
              <controlPr defaultSize="0" autoFill="0" autoLine="0" autoPict="0">
                <anchor moveWithCells="1">
                  <from>
                    <xdr:col>13</xdr:col>
                    <xdr:colOff>180975</xdr:colOff>
                    <xdr:row>87</xdr:row>
                    <xdr:rowOff>9525</xdr:rowOff>
                  </from>
                  <to>
                    <xdr:col>13</xdr:col>
                    <xdr:colOff>495300</xdr:colOff>
                    <xdr:row>88</xdr:row>
                    <xdr:rowOff>0</xdr:rowOff>
                  </to>
                </anchor>
              </controlPr>
            </control>
          </mc:Choice>
        </mc:AlternateContent>
        <mc:AlternateContent xmlns:mc="http://schemas.openxmlformats.org/markup-compatibility/2006">
          <mc:Choice Requires="x14">
            <control shapeId="16474" r:id="rId92" name="Option Button 90">
              <controlPr defaultSize="0" autoFill="0" autoLine="0" autoPict="0">
                <anchor moveWithCells="1">
                  <from>
                    <xdr:col>14</xdr:col>
                    <xdr:colOff>180975</xdr:colOff>
                    <xdr:row>87</xdr:row>
                    <xdr:rowOff>9525</xdr:rowOff>
                  </from>
                  <to>
                    <xdr:col>14</xdr:col>
                    <xdr:colOff>495300</xdr:colOff>
                    <xdr:row>88</xdr:row>
                    <xdr:rowOff>0</xdr:rowOff>
                  </to>
                </anchor>
              </controlPr>
            </control>
          </mc:Choice>
        </mc:AlternateContent>
        <mc:AlternateContent xmlns:mc="http://schemas.openxmlformats.org/markup-compatibility/2006">
          <mc:Choice Requires="x14">
            <control shapeId="16475" r:id="rId93" name="Option Button 91">
              <controlPr defaultSize="0" autoFill="0" autoLine="0" autoPict="0">
                <anchor moveWithCells="1">
                  <from>
                    <xdr:col>15</xdr:col>
                    <xdr:colOff>180975</xdr:colOff>
                    <xdr:row>87</xdr:row>
                    <xdr:rowOff>9525</xdr:rowOff>
                  </from>
                  <to>
                    <xdr:col>15</xdr:col>
                    <xdr:colOff>495300</xdr:colOff>
                    <xdr:row>88</xdr:row>
                    <xdr:rowOff>0</xdr:rowOff>
                  </to>
                </anchor>
              </controlPr>
            </control>
          </mc:Choice>
        </mc:AlternateContent>
        <mc:AlternateContent xmlns:mc="http://schemas.openxmlformats.org/markup-compatibility/2006">
          <mc:Choice Requires="x14">
            <control shapeId="16476" r:id="rId94" name="Option Button 92">
              <controlPr defaultSize="0" autoFill="0" autoLine="0" autoPict="0">
                <anchor moveWithCells="1">
                  <from>
                    <xdr:col>16</xdr:col>
                    <xdr:colOff>180975</xdr:colOff>
                    <xdr:row>87</xdr:row>
                    <xdr:rowOff>9525</xdr:rowOff>
                  </from>
                  <to>
                    <xdr:col>16</xdr:col>
                    <xdr:colOff>495300</xdr:colOff>
                    <xdr:row>88</xdr:row>
                    <xdr:rowOff>0</xdr:rowOff>
                  </to>
                </anchor>
              </controlPr>
            </control>
          </mc:Choice>
        </mc:AlternateContent>
        <mc:AlternateContent xmlns:mc="http://schemas.openxmlformats.org/markup-compatibility/2006">
          <mc:Choice Requires="x14">
            <control shapeId="16477" r:id="rId95" name="Group Box 93">
              <controlPr defaultSize="0" autoFill="0" autoPict="0">
                <anchor moveWithCells="1">
                  <from>
                    <xdr:col>11</xdr:col>
                    <xdr:colOff>0</xdr:colOff>
                    <xdr:row>87</xdr:row>
                    <xdr:rowOff>190500</xdr:rowOff>
                  </from>
                  <to>
                    <xdr:col>17</xdr:col>
                    <xdr:colOff>0</xdr:colOff>
                    <xdr:row>89</xdr:row>
                    <xdr:rowOff>0</xdr:rowOff>
                  </to>
                </anchor>
              </controlPr>
            </control>
          </mc:Choice>
        </mc:AlternateContent>
        <mc:AlternateContent xmlns:mc="http://schemas.openxmlformats.org/markup-compatibility/2006">
          <mc:Choice Requires="x14">
            <control shapeId="16478" r:id="rId96" name="Option Button 94">
              <controlPr defaultSize="0" autoFill="0" autoLine="0" autoPict="0">
                <anchor moveWithCells="1">
                  <from>
                    <xdr:col>11</xdr:col>
                    <xdr:colOff>180975</xdr:colOff>
                    <xdr:row>88</xdr:row>
                    <xdr:rowOff>9525</xdr:rowOff>
                  </from>
                  <to>
                    <xdr:col>11</xdr:col>
                    <xdr:colOff>495300</xdr:colOff>
                    <xdr:row>89</xdr:row>
                    <xdr:rowOff>0</xdr:rowOff>
                  </to>
                </anchor>
              </controlPr>
            </control>
          </mc:Choice>
        </mc:AlternateContent>
        <mc:AlternateContent xmlns:mc="http://schemas.openxmlformats.org/markup-compatibility/2006">
          <mc:Choice Requires="x14">
            <control shapeId="16479" r:id="rId97" name="Option Button 95">
              <controlPr defaultSize="0" autoFill="0" autoLine="0" autoPict="0">
                <anchor moveWithCells="1">
                  <from>
                    <xdr:col>12</xdr:col>
                    <xdr:colOff>180975</xdr:colOff>
                    <xdr:row>88</xdr:row>
                    <xdr:rowOff>9525</xdr:rowOff>
                  </from>
                  <to>
                    <xdr:col>12</xdr:col>
                    <xdr:colOff>495300</xdr:colOff>
                    <xdr:row>89</xdr:row>
                    <xdr:rowOff>0</xdr:rowOff>
                  </to>
                </anchor>
              </controlPr>
            </control>
          </mc:Choice>
        </mc:AlternateContent>
        <mc:AlternateContent xmlns:mc="http://schemas.openxmlformats.org/markup-compatibility/2006">
          <mc:Choice Requires="x14">
            <control shapeId="16480" r:id="rId98" name="Option Button 96">
              <controlPr defaultSize="0" autoFill="0" autoLine="0" autoPict="0">
                <anchor moveWithCells="1">
                  <from>
                    <xdr:col>13</xdr:col>
                    <xdr:colOff>180975</xdr:colOff>
                    <xdr:row>88</xdr:row>
                    <xdr:rowOff>9525</xdr:rowOff>
                  </from>
                  <to>
                    <xdr:col>13</xdr:col>
                    <xdr:colOff>495300</xdr:colOff>
                    <xdr:row>89</xdr:row>
                    <xdr:rowOff>0</xdr:rowOff>
                  </to>
                </anchor>
              </controlPr>
            </control>
          </mc:Choice>
        </mc:AlternateContent>
        <mc:AlternateContent xmlns:mc="http://schemas.openxmlformats.org/markup-compatibility/2006">
          <mc:Choice Requires="x14">
            <control shapeId="16481" r:id="rId99" name="Option Button 97">
              <controlPr defaultSize="0" autoFill="0" autoLine="0" autoPict="0">
                <anchor moveWithCells="1">
                  <from>
                    <xdr:col>14</xdr:col>
                    <xdr:colOff>180975</xdr:colOff>
                    <xdr:row>88</xdr:row>
                    <xdr:rowOff>9525</xdr:rowOff>
                  </from>
                  <to>
                    <xdr:col>14</xdr:col>
                    <xdr:colOff>495300</xdr:colOff>
                    <xdr:row>89</xdr:row>
                    <xdr:rowOff>0</xdr:rowOff>
                  </to>
                </anchor>
              </controlPr>
            </control>
          </mc:Choice>
        </mc:AlternateContent>
        <mc:AlternateContent xmlns:mc="http://schemas.openxmlformats.org/markup-compatibility/2006">
          <mc:Choice Requires="x14">
            <control shapeId="16482" r:id="rId100" name="Option Button 98">
              <controlPr defaultSize="0" autoFill="0" autoLine="0" autoPict="0">
                <anchor moveWithCells="1">
                  <from>
                    <xdr:col>15</xdr:col>
                    <xdr:colOff>180975</xdr:colOff>
                    <xdr:row>88</xdr:row>
                    <xdr:rowOff>9525</xdr:rowOff>
                  </from>
                  <to>
                    <xdr:col>15</xdr:col>
                    <xdr:colOff>495300</xdr:colOff>
                    <xdr:row>89</xdr:row>
                    <xdr:rowOff>0</xdr:rowOff>
                  </to>
                </anchor>
              </controlPr>
            </control>
          </mc:Choice>
        </mc:AlternateContent>
        <mc:AlternateContent xmlns:mc="http://schemas.openxmlformats.org/markup-compatibility/2006">
          <mc:Choice Requires="x14">
            <control shapeId="16483" r:id="rId101" name="Option Button 99">
              <controlPr defaultSize="0" autoFill="0" autoLine="0" autoPict="0">
                <anchor moveWithCells="1">
                  <from>
                    <xdr:col>16</xdr:col>
                    <xdr:colOff>180975</xdr:colOff>
                    <xdr:row>88</xdr:row>
                    <xdr:rowOff>9525</xdr:rowOff>
                  </from>
                  <to>
                    <xdr:col>16</xdr:col>
                    <xdr:colOff>495300</xdr:colOff>
                    <xdr:row>89</xdr:row>
                    <xdr:rowOff>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3720AF-CFBE-4942-8B82-0554193A88C9}">
  <sheetPr>
    <tabColor rgb="FFFFFF99"/>
  </sheetPr>
  <dimension ref="A1:S44"/>
  <sheetViews>
    <sheetView showGridLines="0" zoomScaleNormal="100" workbookViewId="0">
      <selection activeCell="D16" sqref="D16:H16"/>
    </sheetView>
  </sheetViews>
  <sheetFormatPr defaultRowHeight="15" x14ac:dyDescent="0.25"/>
  <cols>
    <col min="1" max="1" width="5.42578125" customWidth="1"/>
    <col min="4" max="4" width="3.28515625" customWidth="1"/>
  </cols>
  <sheetData>
    <row r="1" spans="1:19" ht="21" thickBot="1" x14ac:dyDescent="0.35">
      <c r="A1" s="746" t="s">
        <v>1</v>
      </c>
      <c r="B1" s="747"/>
      <c r="C1" s="747"/>
      <c r="D1" s="747"/>
      <c r="E1" s="747"/>
      <c r="F1" s="747"/>
      <c r="G1" s="747"/>
      <c r="H1" s="747"/>
      <c r="I1" s="747"/>
      <c r="J1" s="748"/>
    </row>
    <row r="2" spans="1:19" x14ac:dyDescent="0.25">
      <c r="A2" s="242"/>
      <c r="B2" s="617"/>
      <c r="C2" s="617"/>
      <c r="D2" s="617"/>
      <c r="E2" s="617"/>
      <c r="F2" s="617"/>
      <c r="G2" s="617"/>
      <c r="H2" s="617"/>
      <c r="I2" s="617"/>
      <c r="J2" s="243"/>
    </row>
    <row r="3" spans="1:19" s="241" customFormat="1" ht="16.5" customHeight="1" x14ac:dyDescent="0.3">
      <c r="A3" s="1122" t="s">
        <v>762</v>
      </c>
      <c r="B3" s="1123"/>
      <c r="C3" s="1123"/>
      <c r="D3" s="1123"/>
      <c r="E3" s="1123"/>
      <c r="F3" s="1123"/>
      <c r="G3" s="1123"/>
      <c r="H3" s="1123"/>
      <c r="I3" s="1123"/>
      <c r="J3" s="1124"/>
      <c r="K3"/>
      <c r="L3"/>
      <c r="M3"/>
      <c r="N3"/>
      <c r="O3"/>
      <c r="P3"/>
      <c r="Q3"/>
      <c r="R3"/>
      <c r="S3"/>
    </row>
    <row r="4" spans="1:19" s="241" customFormat="1" ht="15" customHeight="1" x14ac:dyDescent="0.3">
      <c r="A4" s="1122"/>
      <c r="B4" s="1123"/>
      <c r="C4" s="1123"/>
      <c r="D4" s="1123"/>
      <c r="E4" s="1123"/>
      <c r="F4" s="1123"/>
      <c r="G4" s="1123"/>
      <c r="H4" s="1123"/>
      <c r="I4" s="1123"/>
      <c r="J4" s="1124"/>
      <c r="K4"/>
      <c r="L4"/>
      <c r="M4"/>
      <c r="N4"/>
      <c r="O4"/>
      <c r="P4"/>
      <c r="Q4"/>
      <c r="R4"/>
      <c r="S4"/>
    </row>
    <row r="5" spans="1:19" s="241" customFormat="1" ht="15" customHeight="1" x14ac:dyDescent="0.3">
      <c r="A5" s="1122"/>
      <c r="B5" s="1123"/>
      <c r="C5" s="1123"/>
      <c r="D5" s="1123"/>
      <c r="E5" s="1123"/>
      <c r="F5" s="1123"/>
      <c r="G5" s="1123"/>
      <c r="H5" s="1123"/>
      <c r="I5" s="1123"/>
      <c r="J5" s="1124"/>
      <c r="K5"/>
      <c r="L5"/>
      <c r="M5"/>
      <c r="N5"/>
      <c r="O5"/>
      <c r="P5"/>
      <c r="Q5"/>
      <c r="R5"/>
      <c r="S5"/>
    </row>
    <row r="6" spans="1:19" s="241" customFormat="1" ht="15" customHeight="1" x14ac:dyDescent="0.3">
      <c r="A6" s="1122"/>
      <c r="B6" s="1123"/>
      <c r="C6" s="1123"/>
      <c r="D6" s="1123"/>
      <c r="E6" s="1123"/>
      <c r="F6" s="1123"/>
      <c r="G6" s="1123"/>
      <c r="H6" s="1123"/>
      <c r="I6" s="1123"/>
      <c r="J6" s="1124"/>
      <c r="K6"/>
      <c r="L6"/>
      <c r="M6"/>
      <c r="N6"/>
      <c r="O6"/>
      <c r="P6"/>
      <c r="Q6"/>
      <c r="R6"/>
      <c r="S6"/>
    </row>
    <row r="7" spans="1:19" s="241" customFormat="1" ht="15" customHeight="1" x14ac:dyDescent="0.3">
      <c r="A7" s="1122"/>
      <c r="B7" s="1123"/>
      <c r="C7" s="1123"/>
      <c r="D7" s="1123"/>
      <c r="E7" s="1123"/>
      <c r="F7" s="1123"/>
      <c r="G7" s="1123"/>
      <c r="H7" s="1123"/>
      <c r="I7" s="1123"/>
      <c r="J7" s="1124"/>
      <c r="K7"/>
      <c r="L7"/>
      <c r="M7"/>
      <c r="N7"/>
      <c r="O7"/>
      <c r="P7"/>
      <c r="Q7"/>
      <c r="R7"/>
      <c r="S7"/>
    </row>
    <row r="8" spans="1:19" s="241" customFormat="1" ht="15" customHeight="1" x14ac:dyDescent="0.3">
      <c r="A8" s="1122"/>
      <c r="B8" s="1123"/>
      <c r="C8" s="1123"/>
      <c r="D8" s="1123"/>
      <c r="E8" s="1123"/>
      <c r="F8" s="1123"/>
      <c r="G8" s="1123"/>
      <c r="H8" s="1123"/>
      <c r="I8" s="1123"/>
      <c r="J8" s="1124"/>
      <c r="K8"/>
      <c r="L8"/>
      <c r="M8"/>
      <c r="N8"/>
      <c r="O8"/>
      <c r="P8"/>
      <c r="Q8"/>
      <c r="R8"/>
      <c r="S8"/>
    </row>
    <row r="9" spans="1:19" s="241" customFormat="1" ht="15" customHeight="1" x14ac:dyDescent="0.3">
      <c r="A9" s="1122"/>
      <c r="B9" s="1123"/>
      <c r="C9" s="1123"/>
      <c r="D9" s="1123"/>
      <c r="E9" s="1123"/>
      <c r="F9" s="1123"/>
      <c r="G9" s="1123"/>
      <c r="H9" s="1123"/>
      <c r="I9" s="1123"/>
      <c r="J9" s="1124"/>
      <c r="K9"/>
      <c r="L9"/>
      <c r="M9"/>
      <c r="N9"/>
      <c r="O9"/>
      <c r="P9"/>
      <c r="Q9"/>
      <c r="R9"/>
      <c r="S9"/>
    </row>
    <row r="10" spans="1:19" s="241" customFormat="1" ht="15" customHeight="1" x14ac:dyDescent="0.3">
      <c r="A10" s="1122"/>
      <c r="B10" s="1123"/>
      <c r="C10" s="1123"/>
      <c r="D10" s="1123"/>
      <c r="E10" s="1123"/>
      <c r="F10" s="1123"/>
      <c r="G10" s="1123"/>
      <c r="H10" s="1123"/>
      <c r="I10" s="1123"/>
      <c r="J10" s="1124"/>
      <c r="K10"/>
      <c r="L10"/>
      <c r="M10"/>
      <c r="N10"/>
      <c r="O10"/>
      <c r="P10"/>
      <c r="Q10"/>
      <c r="R10"/>
      <c r="S10"/>
    </row>
    <row r="11" spans="1:19" s="241" customFormat="1" ht="15" customHeight="1" x14ac:dyDescent="0.3">
      <c r="A11" s="1122"/>
      <c r="B11" s="1123"/>
      <c r="C11" s="1123"/>
      <c r="D11" s="1123"/>
      <c r="E11" s="1123"/>
      <c r="F11" s="1123"/>
      <c r="G11" s="1123"/>
      <c r="H11" s="1123"/>
      <c r="I11" s="1123"/>
      <c r="J11" s="1124"/>
      <c r="K11"/>
      <c r="L11"/>
      <c r="M11"/>
      <c r="N11"/>
      <c r="O11"/>
      <c r="P11"/>
      <c r="Q11"/>
      <c r="R11"/>
      <c r="S11"/>
    </row>
    <row r="12" spans="1:19" s="241" customFormat="1" ht="15" customHeight="1" x14ac:dyDescent="0.3">
      <c r="A12" s="1122"/>
      <c r="B12" s="1123"/>
      <c r="C12" s="1123"/>
      <c r="D12" s="1123"/>
      <c r="E12" s="1123"/>
      <c r="F12" s="1123"/>
      <c r="G12" s="1123"/>
      <c r="H12" s="1123"/>
      <c r="I12" s="1123"/>
      <c r="J12" s="1124"/>
      <c r="K12"/>
      <c r="L12"/>
      <c r="M12"/>
      <c r="N12"/>
      <c r="O12"/>
      <c r="P12"/>
      <c r="Q12"/>
      <c r="R12"/>
      <c r="S12"/>
    </row>
    <row r="13" spans="1:19" s="241" customFormat="1" ht="15" customHeight="1" x14ac:dyDescent="0.3">
      <c r="A13" s="1122"/>
      <c r="B13" s="1123"/>
      <c r="C13" s="1123"/>
      <c r="D13" s="1123"/>
      <c r="E13" s="1123"/>
      <c r="F13" s="1123"/>
      <c r="G13" s="1123"/>
      <c r="H13" s="1123"/>
      <c r="I13" s="1123"/>
      <c r="J13" s="1124"/>
      <c r="K13"/>
      <c r="L13"/>
      <c r="M13"/>
      <c r="N13"/>
      <c r="O13"/>
      <c r="P13"/>
      <c r="Q13"/>
      <c r="R13"/>
      <c r="S13"/>
    </row>
    <row r="14" spans="1:19" ht="15.75" x14ac:dyDescent="0.25">
      <c r="A14" s="244"/>
      <c r="B14" s="618"/>
      <c r="C14" s="618"/>
      <c r="D14" s="618"/>
      <c r="E14" s="618"/>
      <c r="F14" s="618"/>
      <c r="G14" s="618"/>
      <c r="H14" s="618"/>
      <c r="I14" s="618"/>
      <c r="J14" s="245"/>
    </row>
    <row r="15" spans="1:19" ht="18.75" x14ac:dyDescent="0.25">
      <c r="A15" s="1119" t="s">
        <v>688</v>
      </c>
      <c r="B15" s="1120"/>
      <c r="C15" s="1120"/>
      <c r="D15" s="1120"/>
      <c r="E15" s="1120"/>
      <c r="F15" s="1120"/>
      <c r="G15" s="1120"/>
      <c r="H15" s="1120"/>
      <c r="I15" s="1120"/>
      <c r="J15" s="1121"/>
    </row>
    <row r="16" spans="1:19" ht="18.75" x14ac:dyDescent="0.3">
      <c r="A16" s="623"/>
      <c r="B16" s="624"/>
      <c r="C16" s="624"/>
      <c r="D16" s="1134" t="s">
        <v>687</v>
      </c>
      <c r="E16" s="1134"/>
      <c r="F16" s="1134"/>
      <c r="G16" s="1134"/>
      <c r="H16" s="1134"/>
      <c r="I16" s="624"/>
      <c r="J16" s="625"/>
    </row>
    <row r="17" spans="1:10" x14ac:dyDescent="0.25">
      <c r="A17" s="246"/>
      <c r="B17" s="619"/>
      <c r="C17" s="619"/>
      <c r="D17" s="619"/>
      <c r="E17" s="619"/>
      <c r="F17" s="619"/>
      <c r="G17" s="619"/>
      <c r="H17" s="619"/>
      <c r="I17" s="619"/>
      <c r="J17" s="245"/>
    </row>
    <row r="18" spans="1:10" x14ac:dyDescent="0.25">
      <c r="A18" s="1125"/>
      <c r="B18" s="1126"/>
      <c r="C18" s="1126"/>
      <c r="D18" s="1126"/>
      <c r="E18" s="1126"/>
      <c r="F18" s="1126"/>
      <c r="G18" s="1126"/>
      <c r="H18" s="1126"/>
      <c r="I18" s="1126"/>
      <c r="J18" s="1127"/>
    </row>
    <row r="19" spans="1:10" x14ac:dyDescent="0.25">
      <c r="A19" s="242"/>
      <c r="B19" s="617"/>
      <c r="C19" s="617"/>
      <c r="D19" s="617"/>
      <c r="E19" s="617"/>
      <c r="F19" s="617"/>
      <c r="G19" s="617"/>
      <c r="H19" s="617"/>
      <c r="I19" s="617"/>
      <c r="J19" s="243"/>
    </row>
    <row r="20" spans="1:10" ht="18.75" x14ac:dyDescent="0.3">
      <c r="A20" s="1128" t="s">
        <v>759</v>
      </c>
      <c r="B20" s="1129"/>
      <c r="C20" s="1129"/>
      <c r="D20" s="1129"/>
      <c r="E20" s="1129"/>
      <c r="F20" s="1129"/>
      <c r="G20" s="1129"/>
      <c r="H20" s="1129"/>
      <c r="I20" s="1129"/>
      <c r="J20" s="1130"/>
    </row>
    <row r="21" spans="1:10" ht="18.75" x14ac:dyDescent="0.3">
      <c r="A21" s="1131" t="s">
        <v>760</v>
      </c>
      <c r="B21" s="1132"/>
      <c r="C21" s="1132"/>
      <c r="D21" s="1132"/>
      <c r="E21" s="1132"/>
      <c r="F21" s="1132"/>
      <c r="G21" s="1133" t="s">
        <v>761</v>
      </c>
      <c r="H21" s="1133"/>
      <c r="I21" s="1133"/>
      <c r="J21" s="622"/>
    </row>
    <row r="22" spans="1:10" ht="18.75" customHeight="1" x14ac:dyDescent="0.25">
      <c r="A22" s="242"/>
      <c r="B22" s="617"/>
      <c r="C22" s="617"/>
      <c r="D22" s="617"/>
      <c r="E22" s="617"/>
      <c r="F22" s="617"/>
      <c r="G22" s="617"/>
      <c r="H22" s="617"/>
      <c r="I22" s="617"/>
      <c r="J22" s="243"/>
    </row>
    <row r="23" spans="1:10" x14ac:dyDescent="0.25">
      <c r="A23" s="242"/>
      <c r="B23" s="617"/>
      <c r="C23" s="617"/>
      <c r="D23" s="617"/>
      <c r="E23" s="617"/>
      <c r="F23" s="617"/>
      <c r="G23" s="617"/>
      <c r="H23" s="617"/>
      <c r="I23" s="617"/>
      <c r="J23" s="243"/>
    </row>
    <row r="24" spans="1:10" ht="15.75" customHeight="1" x14ac:dyDescent="0.25">
      <c r="A24" s="242"/>
      <c r="B24" s="617"/>
      <c r="C24" s="617"/>
      <c r="D24" s="617"/>
      <c r="E24" s="617"/>
      <c r="F24" s="617"/>
      <c r="G24" s="617"/>
      <c r="H24" s="617"/>
      <c r="I24" s="617"/>
      <c r="J24" s="243"/>
    </row>
    <row r="25" spans="1:10" ht="15.75" customHeight="1" x14ac:dyDescent="0.25">
      <c r="A25" s="1116" t="s">
        <v>690</v>
      </c>
      <c r="B25" s="1117"/>
      <c r="C25" s="1117"/>
      <c r="D25" s="1117"/>
      <c r="E25" s="1117"/>
      <c r="F25" s="1117"/>
      <c r="G25" s="1117"/>
      <c r="H25" s="1117"/>
      <c r="I25" s="1117"/>
      <c r="J25" s="1118"/>
    </row>
    <row r="26" spans="1:10" x14ac:dyDescent="0.25">
      <c r="A26" s="246"/>
      <c r="B26" s="619"/>
      <c r="C26" s="619"/>
      <c r="D26" s="619"/>
      <c r="E26" s="619"/>
      <c r="F26" s="619"/>
      <c r="G26" s="619"/>
      <c r="H26" s="619"/>
      <c r="I26" s="619"/>
      <c r="J26" s="245"/>
    </row>
    <row r="27" spans="1:10" x14ac:dyDescent="0.25">
      <c r="A27" s="1116" t="s">
        <v>693</v>
      </c>
      <c r="B27" s="1117"/>
      <c r="C27" s="1117"/>
      <c r="D27" s="1117"/>
      <c r="E27" s="1117"/>
      <c r="F27" s="1117"/>
      <c r="G27" s="1117"/>
      <c r="H27" s="1117"/>
      <c r="I27" s="1117"/>
      <c r="J27" s="1118"/>
    </row>
    <row r="28" spans="1:10" x14ac:dyDescent="0.25">
      <c r="A28" s="1116"/>
      <c r="B28" s="1117"/>
      <c r="C28" s="1117"/>
      <c r="D28" s="1117"/>
      <c r="E28" s="1117"/>
      <c r="F28" s="1117"/>
      <c r="G28" s="1117"/>
      <c r="H28" s="1117"/>
      <c r="I28" s="1117"/>
      <c r="J28" s="1118"/>
    </row>
    <row r="29" spans="1:10" x14ac:dyDescent="0.25">
      <c r="A29" s="1116"/>
      <c r="B29" s="1117"/>
      <c r="C29" s="1117"/>
      <c r="D29" s="1117"/>
      <c r="E29" s="1117"/>
      <c r="F29" s="1117"/>
      <c r="G29" s="1117"/>
      <c r="H29" s="1117"/>
      <c r="I29" s="1117"/>
      <c r="J29" s="1118"/>
    </row>
    <row r="30" spans="1:10" ht="18.75" x14ac:dyDescent="0.3">
      <c r="A30" s="628"/>
      <c r="B30" s="626"/>
      <c r="C30" s="626"/>
      <c r="D30" s="626"/>
      <c r="E30" s="1134" t="s">
        <v>689</v>
      </c>
      <c r="F30" s="1134"/>
      <c r="G30" s="1134"/>
      <c r="H30" s="626"/>
      <c r="I30" s="626"/>
      <c r="J30" s="627"/>
    </row>
    <row r="31" spans="1:10" x14ac:dyDescent="0.25">
      <c r="A31" s="242"/>
      <c r="B31" s="617"/>
      <c r="C31" s="617"/>
      <c r="D31" s="617"/>
      <c r="E31" s="617"/>
      <c r="F31" s="617"/>
      <c r="G31" s="617"/>
      <c r="H31" s="617"/>
      <c r="I31" s="617"/>
      <c r="J31" s="243"/>
    </row>
    <row r="32" spans="1:10" x14ac:dyDescent="0.25">
      <c r="A32" s="242"/>
      <c r="B32" s="617"/>
      <c r="C32" s="617"/>
      <c r="D32" s="617"/>
      <c r="E32" s="617"/>
      <c r="F32" s="617"/>
      <c r="G32" s="617"/>
      <c r="H32" s="617"/>
      <c r="I32" s="617"/>
      <c r="J32" s="243"/>
    </row>
    <row r="33" spans="1:10" x14ac:dyDescent="0.25">
      <c r="A33" s="242"/>
      <c r="B33" s="617"/>
      <c r="C33" s="617"/>
      <c r="D33" s="617"/>
      <c r="E33" s="617"/>
      <c r="F33" s="617"/>
      <c r="G33" s="617"/>
      <c r="H33" s="617"/>
      <c r="I33" s="617"/>
      <c r="J33" s="243"/>
    </row>
    <row r="34" spans="1:10" x14ac:dyDescent="0.25">
      <c r="A34" s="1112" t="s">
        <v>692</v>
      </c>
      <c r="B34" s="1113"/>
      <c r="C34" s="1113"/>
      <c r="D34" s="1113"/>
      <c r="E34" s="1113"/>
      <c r="F34" s="1113"/>
      <c r="G34" s="1113"/>
      <c r="H34" s="1113"/>
      <c r="I34" s="1113"/>
      <c r="J34" s="1114"/>
    </row>
    <row r="35" spans="1:10" x14ac:dyDescent="0.25">
      <c r="A35" s="1115"/>
      <c r="B35" s="1113"/>
      <c r="C35" s="1113"/>
      <c r="D35" s="1113"/>
      <c r="E35" s="1113"/>
      <c r="F35" s="1113"/>
      <c r="G35" s="1113"/>
      <c r="H35" s="1113"/>
      <c r="I35" s="1113"/>
      <c r="J35" s="1114"/>
    </row>
    <row r="36" spans="1:10" x14ac:dyDescent="0.25">
      <c r="A36" s="242"/>
      <c r="B36" s="617"/>
      <c r="C36" s="617"/>
      <c r="D36" s="617"/>
      <c r="E36" s="617"/>
      <c r="F36" s="617"/>
      <c r="G36" s="617"/>
      <c r="H36" s="617"/>
      <c r="I36" s="617"/>
      <c r="J36" s="243"/>
    </row>
    <row r="37" spans="1:10" x14ac:dyDescent="0.25">
      <c r="A37" s="242"/>
      <c r="B37" s="617"/>
      <c r="C37" s="617"/>
      <c r="D37" s="617"/>
      <c r="E37" s="617"/>
      <c r="F37" s="617"/>
      <c r="G37" s="617"/>
      <c r="H37" s="617"/>
      <c r="I37" s="617"/>
      <c r="J37" s="243"/>
    </row>
    <row r="38" spans="1:10" x14ac:dyDescent="0.25">
      <c r="A38" s="242"/>
      <c r="B38" s="617"/>
      <c r="C38" s="617"/>
      <c r="D38" s="617"/>
      <c r="E38" s="617"/>
      <c r="F38" s="617"/>
      <c r="G38" s="617"/>
      <c r="H38" s="617"/>
      <c r="I38" s="617"/>
      <c r="J38" s="243"/>
    </row>
    <row r="39" spans="1:10" x14ac:dyDescent="0.25">
      <c r="A39" s="242"/>
      <c r="B39" s="617"/>
      <c r="C39" s="617"/>
      <c r="D39" s="617"/>
      <c r="E39" s="617"/>
      <c r="F39" s="617"/>
      <c r="G39" s="617"/>
      <c r="H39" s="617"/>
      <c r="I39" s="617"/>
      <c r="J39" s="243"/>
    </row>
    <row r="40" spans="1:10" x14ac:dyDescent="0.25">
      <c r="A40" s="242"/>
      <c r="B40" s="617"/>
      <c r="C40" s="617"/>
      <c r="D40" s="617"/>
      <c r="E40" s="617"/>
      <c r="F40" s="617"/>
      <c r="G40" s="617"/>
      <c r="H40" s="617"/>
      <c r="I40" s="617"/>
      <c r="J40" s="243"/>
    </row>
    <row r="41" spans="1:10" x14ac:dyDescent="0.25">
      <c r="A41" s="242"/>
      <c r="B41" s="617"/>
      <c r="C41" s="617"/>
      <c r="D41" s="617"/>
      <c r="E41" s="617"/>
      <c r="F41" s="617"/>
      <c r="G41" s="617"/>
      <c r="H41" s="617"/>
      <c r="I41" s="617"/>
      <c r="J41" s="243"/>
    </row>
    <row r="42" spans="1:10" x14ac:dyDescent="0.25">
      <c r="A42" s="242"/>
      <c r="B42" s="617"/>
      <c r="C42" s="617"/>
      <c r="D42" s="617"/>
      <c r="E42" s="617"/>
      <c r="F42" s="617"/>
      <c r="G42" s="617"/>
      <c r="H42" s="617"/>
      <c r="I42" s="617"/>
      <c r="J42" s="243"/>
    </row>
    <row r="43" spans="1:10" x14ac:dyDescent="0.25">
      <c r="A43" s="242"/>
      <c r="B43" s="617"/>
      <c r="C43" s="617"/>
      <c r="D43" s="617"/>
      <c r="E43" s="617"/>
      <c r="F43" s="617"/>
      <c r="G43" s="617"/>
      <c r="H43" s="617"/>
      <c r="I43" s="617"/>
      <c r="J43" s="243"/>
    </row>
    <row r="44" spans="1:10" ht="15.75" thickBot="1" x14ac:dyDescent="0.3">
      <c r="A44" s="247"/>
      <c r="B44" s="248"/>
      <c r="C44" s="248"/>
      <c r="D44" s="248"/>
      <c r="E44" s="248"/>
      <c r="F44" s="248"/>
      <c r="G44" s="248"/>
      <c r="H44" s="248"/>
      <c r="I44" s="248"/>
      <c r="J44" s="249"/>
    </row>
  </sheetData>
  <sheetProtection algorithmName="SHA-512" hashValue="Jjk+E7e4cioM4ZU+QNAVP6dgS+6bMLOvojcKisTlqDO0hMKxZVpIMdKoVjRsHM34UVGvZiOgrwpbzGZIJvvUew==" saltValue="8TWipD+5vX4Nt4MIQ1nZBw==" spinCount="100000" sheet="1" objects="1" scenarios="1" selectLockedCells="1"/>
  <mergeCells count="12">
    <mergeCell ref="A34:J35"/>
    <mergeCell ref="A25:J25"/>
    <mergeCell ref="A15:J15"/>
    <mergeCell ref="A1:J1"/>
    <mergeCell ref="A3:J13"/>
    <mergeCell ref="A27:J29"/>
    <mergeCell ref="A18:J18"/>
    <mergeCell ref="A20:J20"/>
    <mergeCell ref="A21:F21"/>
    <mergeCell ref="G21:I21"/>
    <mergeCell ref="D16:H16"/>
    <mergeCell ref="E30:G30"/>
  </mergeCells>
  <hyperlinks>
    <hyperlink ref="D16" r:id="rId1" xr:uid="{D7BEA8D6-547D-462B-9FB7-B5752CCAB01E}"/>
    <hyperlink ref="E30" r:id="rId2" xr:uid="{11F0C6C4-FAC8-4C28-9CE2-7333884AF9B1}"/>
  </hyperlinks>
  <pageMargins left="0.7" right="0.7" top="0.75" bottom="0.75" header="0.3" footer="0.3"/>
  <pageSetup orientation="portrait"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201</vt:i4>
      </vt:variant>
    </vt:vector>
  </HeadingPairs>
  <TitlesOfParts>
    <vt:vector size="218" baseType="lpstr">
      <vt:lpstr>Cover</vt:lpstr>
      <vt:lpstr>Instructions</vt:lpstr>
      <vt:lpstr>Character Sheet</vt:lpstr>
      <vt:lpstr>Worktable</vt:lpstr>
      <vt:lpstr>Skills Worktable</vt:lpstr>
      <vt:lpstr>Magic &amp; Psionics</vt:lpstr>
      <vt:lpstr>Combat Sheet</vt:lpstr>
      <vt:lpstr>Customize</vt:lpstr>
      <vt:lpstr>Legal Information</vt:lpstr>
      <vt:lpstr>Editor's Notes</vt:lpstr>
      <vt:lpstr>Printer - Character Sheet</vt:lpstr>
      <vt:lpstr>Printer - Magic &amp; Psionics</vt:lpstr>
      <vt:lpstr>Printer - Combat Sheet</vt:lpstr>
      <vt:lpstr>Skills</vt:lpstr>
      <vt:lpstr>Experience</vt:lpstr>
      <vt:lpstr>Combat</vt:lpstr>
      <vt:lpstr>WP</vt:lpstr>
      <vt:lpstr>alignment</vt:lpstr>
      <vt:lpstr>alignments</vt:lpstr>
      <vt:lpstr>archery</vt:lpstr>
      <vt:lpstr>armor_select</vt:lpstr>
      <vt:lpstr>attack_type</vt:lpstr>
      <vt:lpstr>basic_punch</vt:lpstr>
      <vt:lpstr>battle_axe</vt:lpstr>
      <vt:lpstr>blunt</vt:lpstr>
      <vt:lpstr>bonus_skill</vt:lpstr>
      <vt:lpstr>calc_lev</vt:lpstr>
      <vt:lpstr>chain</vt:lpstr>
      <vt:lpstr>'Printer - Character Sheet'!char_level</vt:lpstr>
      <vt:lpstr>char_level</vt:lpstr>
      <vt:lpstr>'Printer - Character Sheet'!char_xp</vt:lpstr>
      <vt:lpstr>char_xp</vt:lpstr>
      <vt:lpstr>Clergy</vt:lpstr>
      <vt:lpstr>Communications</vt:lpstr>
      <vt:lpstr>crit</vt:lpstr>
      <vt:lpstr>custom_occ</vt:lpstr>
      <vt:lpstr>custom_skills</vt:lpstr>
      <vt:lpstr>damage_col</vt:lpstr>
      <vt:lpstr>damage_row</vt:lpstr>
      <vt:lpstr>db</vt:lpstr>
      <vt:lpstr>die_damage</vt:lpstr>
      <vt:lpstr>die_type</vt:lpstr>
      <vt:lpstr>Domestic</vt:lpstr>
      <vt:lpstr>entangle_col</vt:lpstr>
      <vt:lpstr>entangle_row</vt:lpstr>
      <vt:lpstr>Entertainer</vt:lpstr>
      <vt:lpstr>Espionage</vt:lpstr>
      <vt:lpstr>excel_carry</vt:lpstr>
      <vt:lpstr>exp_chart</vt:lpstr>
      <vt:lpstr>feature_col</vt:lpstr>
      <vt:lpstr>feature_row</vt:lpstr>
      <vt:lpstr>feature_search</vt:lpstr>
      <vt:lpstr>forked</vt:lpstr>
      <vt:lpstr>giant_throw</vt:lpstr>
      <vt:lpstr>hand_to_hand</vt:lpstr>
      <vt:lpstr>hf</vt:lpstr>
      <vt:lpstr>hook</vt:lpstr>
      <vt:lpstr>Horsemanship</vt:lpstr>
      <vt:lpstr>hth</vt:lpstr>
      <vt:lpstr>hth_assassin</vt:lpstr>
      <vt:lpstr>hth_basic</vt:lpstr>
      <vt:lpstr>hth_bonus</vt:lpstr>
      <vt:lpstr>hth_custom</vt:lpstr>
      <vt:lpstr>hth_evasive</vt:lpstr>
      <vt:lpstr>hth_expert</vt:lpstr>
      <vt:lpstr>hth_gladiator</vt:lpstr>
      <vt:lpstr>hth_list</vt:lpstr>
      <vt:lpstr>hth_ma</vt:lpstr>
      <vt:lpstr>hth_none</vt:lpstr>
      <vt:lpstr>hth_skudasa</vt:lpstr>
      <vt:lpstr>knife</vt:lpstr>
      <vt:lpstr>ko</vt:lpstr>
      <vt:lpstr>Language</vt:lpstr>
      <vt:lpstr>level</vt:lpstr>
      <vt:lpstr>Literacy</vt:lpstr>
      <vt:lpstr>Lore</vt:lpstr>
      <vt:lpstr>Magic</vt:lpstr>
      <vt:lpstr>measure_list</vt:lpstr>
      <vt:lpstr>Medical</vt:lpstr>
      <vt:lpstr>MenOfArms</vt:lpstr>
      <vt:lpstr>Military</vt:lpstr>
      <vt:lpstr>missile</vt:lpstr>
      <vt:lpstr>mouth</vt:lpstr>
      <vt:lpstr>nar</vt:lpstr>
      <vt:lpstr>Naval</vt:lpstr>
      <vt:lpstr>net</vt:lpstr>
      <vt:lpstr>norm_punch</vt:lpstr>
      <vt:lpstr>norm_throw</vt:lpstr>
      <vt:lpstr>occ</vt:lpstr>
      <vt:lpstr>occ_cat</vt:lpstr>
      <vt:lpstr>occ_custom1</vt:lpstr>
      <vt:lpstr>occ_custom2</vt:lpstr>
      <vt:lpstr>occ_custom3</vt:lpstr>
      <vt:lpstr>occ_list</vt:lpstr>
      <vt:lpstr>Optional</vt:lpstr>
      <vt:lpstr>parry_col</vt:lpstr>
      <vt:lpstr>parry_row</vt:lpstr>
      <vt:lpstr>percent</vt:lpstr>
      <vt:lpstr>Physical</vt:lpstr>
      <vt:lpstr>plus</vt:lpstr>
      <vt:lpstr>pole_arm</vt:lpstr>
      <vt:lpstr>pounds</vt:lpstr>
      <vt:lpstr>'Character Sheet'!Print_Area</vt:lpstr>
      <vt:lpstr>'Combat Sheet'!Print_Area</vt:lpstr>
      <vt:lpstr>Customize!Print_Area</vt:lpstr>
      <vt:lpstr>'Editor''s Notes'!Print_Area</vt:lpstr>
      <vt:lpstr>Instructions!Print_Area</vt:lpstr>
      <vt:lpstr>'Magic &amp; Psionics'!Print_Area</vt:lpstr>
      <vt:lpstr>'Printer - Character Sheet'!Print_Area</vt:lpstr>
      <vt:lpstr>'Printer - Combat Sheet'!Print_Area</vt:lpstr>
      <vt:lpstr>'Printer - Magic &amp; Psionics'!Print_Area</vt:lpstr>
      <vt:lpstr>'Skills Worktable'!Print_Area</vt:lpstr>
      <vt:lpstr>Worktable!Print_Area</vt:lpstr>
      <vt:lpstr>ps_giant</vt:lpstr>
      <vt:lpstr>ps_normal</vt:lpstr>
      <vt:lpstr>ps_supernatural</vt:lpstr>
      <vt:lpstr>ps_type</vt:lpstr>
      <vt:lpstr>Psychic</vt:lpstr>
      <vt:lpstr>Racial</vt:lpstr>
      <vt:lpstr>range_col</vt:lpstr>
      <vt:lpstr>range_damage</vt:lpstr>
      <vt:lpstr>range_row</vt:lpstr>
      <vt:lpstr>range_strike</vt:lpstr>
      <vt:lpstr>range_type</vt:lpstr>
      <vt:lpstr>rof_col</vt:lpstr>
      <vt:lpstr>rof_row</vt:lpstr>
      <vt:lpstr>Rogue</vt:lpstr>
      <vt:lpstr>save_coma</vt:lpstr>
      <vt:lpstr>save_control</vt:lpstr>
      <vt:lpstr>save_disease</vt:lpstr>
      <vt:lpstr>save_element</vt:lpstr>
      <vt:lpstr>save_f_mag</vt:lpstr>
      <vt:lpstr>save_faerie</vt:lpstr>
      <vt:lpstr>save_hf</vt:lpstr>
      <vt:lpstr>save_illusion</vt:lpstr>
      <vt:lpstr>save_insane</vt:lpstr>
      <vt:lpstr>save_magic</vt:lpstr>
      <vt:lpstr>save_poison</vt:lpstr>
      <vt:lpstr>save_possess</vt:lpstr>
      <vt:lpstr>save_psi</vt:lpstr>
      <vt:lpstr>Science</vt:lpstr>
      <vt:lpstr>Seafarer</vt:lpstr>
      <vt:lpstr>Select_First</vt:lpstr>
      <vt:lpstr>sf_wp1</vt:lpstr>
      <vt:lpstr>sf_wp2</vt:lpstr>
      <vt:lpstr>sf_wp3</vt:lpstr>
      <vt:lpstr>shield</vt:lpstr>
      <vt:lpstr>skill_list</vt:lpstr>
      <vt:lpstr>skill_select</vt:lpstr>
      <vt:lpstr>skills_chart</vt:lpstr>
      <vt:lpstr>sn_ps_punch</vt:lpstr>
      <vt:lpstr>sn_punch_chart</vt:lpstr>
      <vt:lpstr>spear</vt:lpstr>
      <vt:lpstr>special_col</vt:lpstr>
      <vt:lpstr>special_row</vt:lpstr>
      <vt:lpstr>special_search</vt:lpstr>
      <vt:lpstr>staff</vt:lpstr>
      <vt:lpstr>strike_col</vt:lpstr>
      <vt:lpstr>strike_row</vt:lpstr>
      <vt:lpstr>super_throw</vt:lpstr>
      <vt:lpstr>sword</vt:lpstr>
      <vt:lpstr>target_bonus</vt:lpstr>
      <vt:lpstr>Technical</vt:lpstr>
      <vt:lpstr>throw_col</vt:lpstr>
      <vt:lpstr>throw_row</vt:lpstr>
      <vt:lpstr>total_attack</vt:lpstr>
      <vt:lpstr>total_attacks</vt:lpstr>
      <vt:lpstr>total_damage</vt:lpstr>
      <vt:lpstr>total_dodge</vt:lpstr>
      <vt:lpstr>total_hp</vt:lpstr>
      <vt:lpstr>total_init</vt:lpstr>
      <vt:lpstr>total_initiative</vt:lpstr>
      <vt:lpstr>total_iq</vt:lpstr>
      <vt:lpstr>total_isp</vt:lpstr>
      <vt:lpstr>total_ma</vt:lpstr>
      <vt:lpstr>total_me</vt:lpstr>
      <vt:lpstr>total_parry</vt:lpstr>
      <vt:lpstr>total_pb</vt:lpstr>
      <vt:lpstr>total_pe</vt:lpstr>
      <vt:lpstr>total_pp</vt:lpstr>
      <vt:lpstr>total_ppe</vt:lpstr>
      <vt:lpstr>total_ps</vt:lpstr>
      <vt:lpstr>total_pull</vt:lpstr>
      <vt:lpstr>total_roll</vt:lpstr>
      <vt:lpstr>total_sdc</vt:lpstr>
      <vt:lpstr>total_spd</vt:lpstr>
      <vt:lpstr>total_strike</vt:lpstr>
      <vt:lpstr>true_alt</vt:lpstr>
      <vt:lpstr>true_armor</vt:lpstr>
      <vt:lpstr>true_weapons</vt:lpstr>
      <vt:lpstr>'Printer - Combat Sheet'!true_wp</vt:lpstr>
      <vt:lpstr>true_wp</vt:lpstr>
      <vt:lpstr>unarmed_damage</vt:lpstr>
      <vt:lpstr>vl_wp1</vt:lpstr>
      <vt:lpstr>vl_wp2</vt:lpstr>
      <vt:lpstr>vl_wp3</vt:lpstr>
      <vt:lpstr>weapon_bonus</vt:lpstr>
      <vt:lpstr>weapon_ref</vt:lpstr>
      <vt:lpstr>whip</vt:lpstr>
      <vt:lpstr>Wilderness</vt:lpstr>
      <vt:lpstr>WP</vt:lpstr>
      <vt:lpstr>wp_archery</vt:lpstr>
      <vt:lpstr>wp_bonus</vt:lpstr>
      <vt:lpstr>wp_custom1</vt:lpstr>
      <vt:lpstr>wp_custom2</vt:lpstr>
      <vt:lpstr>wp_custom3</vt:lpstr>
      <vt:lpstr>wp_damage</vt:lpstr>
      <vt:lpstr>wp_entangle</vt:lpstr>
      <vt:lpstr>wp_features</vt:lpstr>
      <vt:lpstr>wp_parry</vt:lpstr>
      <vt:lpstr>wp_range</vt:lpstr>
      <vt:lpstr>wp_rof</vt:lpstr>
      <vt:lpstr>wp_search</vt:lpstr>
      <vt:lpstr>wp_special</vt:lpstr>
      <vt:lpstr>wp_strike</vt:lpstr>
      <vt:lpstr>wp_throw</vt:lpstr>
      <vt:lpstr>'Printer - Character Sheet'!xp</vt:lpstr>
      <vt:lpstr>xp</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Prysus</dc:creator>
  <cp:keywords/>
  <dc:description/>
  <cp:lastModifiedBy>Prysus</cp:lastModifiedBy>
  <cp:revision/>
  <cp:lastPrinted>2019-05-17T21:45:18Z</cp:lastPrinted>
  <dcterms:created xsi:type="dcterms:W3CDTF">2017-12-31T17:29:49Z</dcterms:created>
  <dcterms:modified xsi:type="dcterms:W3CDTF">2019-05-18T00:26:21Z</dcterms:modified>
  <cp:category/>
  <cp:contentStatus/>
</cp:coreProperties>
</file>